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izing Calcs" sheetId="1" r:id="rId4"/>
    <sheet state="visible" name="Skimmer Report" sheetId="2" r:id="rId5"/>
    <sheet state="visible" name="Sheet3" sheetId="3" r:id="rId6"/>
  </sheets>
  <definedNames/>
  <calcPr/>
  <extLst>
    <ext uri="GoogleSheetsCustomDataVersion1">
      <go:sheetsCustomData xmlns:go="http://customooxmlschemas.google.com/" r:id="rId7" roundtripDataSignature="AMtx7mgE9Bn15yRvbvLQfwVHSvArDjc1mQ=="/>
    </ext>
  </extLst>
</workbook>
</file>

<file path=xl/comments1.xml><?xml version="1.0" encoding="utf-8"?>
<comments xmlns:r="http://schemas.openxmlformats.org/officeDocument/2006/relationships" xmlns="http://schemas.openxmlformats.org/spreadsheetml/2006/main">
  <authors>
    <author/>
  </authors>
  <commentList>
    <comment authorId="0" ref="D15">
      <text>
        <t xml:space="preserve">======
ID#AAAAGS4IiaE
    (2020-03-12 13:34:48)
Average Length at elevation of next outlet or spillway, not typically top of basin.</t>
      </text>
    </comment>
    <comment authorId="0" ref="D16">
      <text>
        <t xml:space="preserve">======
ID#AAAAGS4IiaA
    (2020-03-12 13:34:48)
Average Width at elevation of next outlet or spillway, not typically top of basin.
Prefer 2:1 ratio for length to width</t>
      </text>
    </comment>
    <comment authorId="0" ref="D13">
      <text>
        <t xml:space="preserve">======
ID#AAAAGS4IiZ8
    (2020-03-12 13:34:48)
Shortest allowable time to drain basin.
In NC &amp; SC = 48
Other areas may vary</t>
      </text>
    </comment>
    <comment authorId="0" ref="I12">
      <text>
        <t xml:space="preserve">======
ID#AAAAGS4IiZ4
    (2020-03-12 13:34:48)
Confirm Calculated Pond Volume is accurate.  If not, adjust Length and Width to achieve accurate volume</t>
      </text>
    </comment>
    <comment authorId="0" ref="D12">
      <text>
        <t xml:space="preserve">======
ID#AAAAGS4IiZ0
    (2020-03-12 13:34:48)
Longest allowable time to drain basin.  In NC &amp; SC = 120 Other areas may vary</t>
      </text>
    </comment>
    <comment authorId="0" ref="D18">
      <text>
        <t xml:space="preserve">======
ID#AAAAGS4IiZw
    (2020-03-12 13:34:48)
Average Width at invert of lowest outlet/bottom of basin.</t>
      </text>
    </comment>
    <comment authorId="0" ref="J6">
      <text>
        <t xml:space="preserve">======
ID#AAAAGS4IiZs
    (2020-03-12 13:34:48)
Use these lines to input additional information,such as project mumber, project phase, etc.</t>
      </text>
    </comment>
    <comment authorId="0" ref="D14">
      <text>
        <t xml:space="preserve">======
ID#AAAAGS4IiZo
    (2020-03-12 13:34:48)
Height from invert of lowest outlet to invert of next outlet or spillway</t>
      </text>
    </comment>
    <comment authorId="0" ref="D17">
      <text>
        <t xml:space="preserve">======
ID#AAAAGS4IiZk
    (2020-03-12 13:34:48)
Average Length at invert of lowest outlet/bottom of basin.  Recommend 3:1 max side slopes.</t>
      </text>
    </comment>
  </commentList>
  <extLst>
    <ext uri="GoogleSheetsCustomDataVersion1">
      <go:sheetsCustomData xmlns:go="http://customooxmlschemas.google.com/" r:id="rId1" roundtripDataSignature="AMtx7mghBeRuwoljMuO6geWtiWzvXezEJg=="/>
    </ext>
  </extLst>
</comments>
</file>

<file path=xl/sharedStrings.xml><?xml version="1.0" encoding="utf-8"?>
<sst xmlns="http://schemas.openxmlformats.org/spreadsheetml/2006/main" count="202" uniqueCount="105">
  <si>
    <t>Marlee Float Skimmer Size Selection Report</t>
  </si>
  <si>
    <t>Date</t>
  </si>
  <si>
    <t>Company</t>
  </si>
  <si>
    <t>Engineer</t>
  </si>
  <si>
    <t>Project Name</t>
  </si>
  <si>
    <t>Project Location</t>
  </si>
  <si>
    <t>Basin Description</t>
  </si>
  <si>
    <t>Inputs</t>
  </si>
  <si>
    <t>Calculations</t>
  </si>
  <si>
    <t>Marlee Float™ Skimmer Size Selection Tool - Version 2.0</t>
  </si>
  <si>
    <t>This skimmer size selection tool is designed to more accurately calculate the draw down rate for specific skimmers based on specific basin criteria.  Although they are often referred to as constant flow devices, skimmers have been shown to actually have variable flow rates, which are dependent upon a variety of factors.  Testing is typically required to determine the actual flow rates.  The use of a calculated flow rate to select a skimmer to meet a required draw down time has been widely accepted, however, as skimmer technology advances, many regulatory agencies are moving towards requiring more accurate models.  This design tool takes into account basin size and depth, which directly correlate to skimmer flow rate.  By incorporating these factors a more accurate selection of the skimmer can be made.</t>
  </si>
  <si>
    <t>User Entries</t>
  </si>
  <si>
    <t>Max. Time to Drain, hrs =</t>
  </si>
  <si>
    <t>Sediment Basin #1</t>
  </si>
  <si>
    <t>Other 1</t>
  </si>
  <si>
    <t/>
  </si>
  <si>
    <t>Other 2</t>
  </si>
  <si>
    <t>Other 3</t>
  </si>
  <si>
    <t>Skimmer Size Selection Optimization</t>
  </si>
  <si>
    <r>
      <t>Calculated Pond Volume, ft</t>
    </r>
    <r>
      <rPr>
        <rFont val="Calibri"/>
        <color theme="1"/>
        <sz val="11.0"/>
        <vertAlign val="superscript"/>
      </rPr>
      <t>3</t>
    </r>
    <r>
      <rPr>
        <rFont val="Calibri"/>
        <color theme="1"/>
        <sz val="11.0"/>
      </rPr>
      <t xml:space="preserve"> =</t>
    </r>
  </si>
  <si>
    <r>
      <t>Calculated Pond Volume, ft</t>
    </r>
    <r>
      <rPr>
        <rFont val="Calibri"/>
        <color theme="1"/>
        <sz val="11.0"/>
        <vertAlign val="superscript"/>
      </rPr>
      <t>3</t>
    </r>
    <r>
      <rPr>
        <rFont val="Calibri"/>
        <color theme="1"/>
        <sz val="11.0"/>
      </rPr>
      <t xml:space="preserve"> =</t>
    </r>
  </si>
  <si>
    <t>Min. Time to Drain, hrs =</t>
  </si>
  <si>
    <t>Skimmer Model / Orifice Size, in</t>
  </si>
  <si>
    <t>Pond Depth, ft =</t>
  </si>
  <si>
    <t>Calculated Pond Volume, gal =</t>
  </si>
  <si>
    <t>Pond Top Length, ft =</t>
  </si>
  <si>
    <t>Pond Top Width, ft =</t>
  </si>
  <si>
    <t>Pond Bottom Length, ft =</t>
  </si>
  <si>
    <t>Pond Bottom Width, ft =</t>
  </si>
  <si>
    <t>Minimum Average Flow Rate Allowable</t>
  </si>
  <si>
    <t>cfd to drain in</t>
  </si>
  <si>
    <t>hrs</t>
  </si>
  <si>
    <t>MF 2" - 0.5" Orifice</t>
  </si>
  <si>
    <t>cfs</t>
  </si>
  <si>
    <t>Maximum Average Flow Rate Allowable</t>
  </si>
  <si>
    <t>MF 2" - 0.75" Orifice</t>
  </si>
  <si>
    <t>MF 2" - 1.0" Orifice</t>
  </si>
  <si>
    <t>MF 2" - 1.5" Orifice</t>
  </si>
  <si>
    <t>MF 2" - 2"</t>
  </si>
  <si>
    <t>MF 3"  - 1.5" Orifice</t>
  </si>
  <si>
    <t>Marlee Float Selection Chart</t>
  </si>
  <si>
    <t>Model #</t>
  </si>
  <si>
    <t>MF 3" - 2.0" Orifice</t>
  </si>
  <si>
    <t>MF 3"  - 2.5" Orifice</t>
  </si>
  <si>
    <t>MF 3" - 3"</t>
  </si>
  <si>
    <t>Orifice</t>
  </si>
  <si>
    <t>Draw Down Time (hrs)</t>
  </si>
  <si>
    <t>MF 4" - 2.0" Orifice</t>
  </si>
  <si>
    <t>MF 4" - 2.5" Orifice</t>
  </si>
  <si>
    <t>MF 4"  - 3.0" Orifice</t>
  </si>
  <si>
    <t>MF 4" - 4"</t>
  </si>
  <si>
    <t>Acceptable for Basin</t>
  </si>
  <si>
    <t>Model 3  - 5.0" orifice saddle</t>
  </si>
  <si>
    <t>2"</t>
  </si>
  <si>
    <t>Model 3  - 6.0" orifice saddle</t>
  </si>
  <si>
    <t xml:space="preserve">Model 3  - 8.0" orifice </t>
  </si>
  <si>
    <t>0.5"</t>
  </si>
  <si>
    <t>No. of Depth Increments for Calcs, in. =</t>
  </si>
  <si>
    <t>Depth Increments for Calcs, in. =</t>
  </si>
  <si>
    <t>0.75"</t>
  </si>
  <si>
    <t>Flow Rate:</t>
  </si>
  <si>
    <t>1.0"</t>
  </si>
  <si>
    <t>1.5"</t>
  </si>
  <si>
    <r>
      <rPr>
        <rFont val="Calibri"/>
        <color theme="1"/>
        <sz val="11.0"/>
        <u/>
      </rPr>
      <t>Note</t>
    </r>
    <r>
      <rPr>
        <rFont val="Calibri"/>
        <color theme="1"/>
        <sz val="11.0"/>
      </rPr>
      <t>: Equations are from product testing:</t>
    </r>
  </si>
  <si>
    <r>
      <t>1.6425*depth</t>
    </r>
    <r>
      <rPr>
        <rFont val="Times New Roman"/>
        <color theme="1"/>
        <sz val="10.0"/>
        <vertAlign val="superscript"/>
      </rPr>
      <t>0.0636</t>
    </r>
  </si>
  <si>
    <t>3"</t>
  </si>
  <si>
    <r>
      <t>6.4078*depth</t>
    </r>
    <r>
      <rPr>
        <rFont val="Times New Roman"/>
        <color theme="1"/>
        <sz val="10.0"/>
        <vertAlign val="superscript"/>
      </rPr>
      <t>0.0312</t>
    </r>
  </si>
  <si>
    <r>
      <t>7.5459*depth</t>
    </r>
    <r>
      <rPr>
        <rFont val="Times New Roman"/>
        <color theme="1"/>
        <sz val="10.0"/>
        <vertAlign val="superscript"/>
      </rPr>
      <t>0.0748</t>
    </r>
  </si>
  <si>
    <r>
      <t>14.221*depth</t>
    </r>
    <r>
      <rPr>
        <rFont val="Times New Roman"/>
        <color theme="1"/>
        <sz val="10.0"/>
        <vertAlign val="superscript"/>
      </rPr>
      <t>0.0401</t>
    </r>
  </si>
  <si>
    <r>
      <t>22.133*depth</t>
    </r>
    <r>
      <rPr>
        <rFont val="Times New Roman"/>
        <color theme="1"/>
        <sz val="10.0"/>
        <vertAlign val="superscript"/>
      </rPr>
      <t>0.1378</t>
    </r>
  </si>
  <si>
    <t>2.0"</t>
  </si>
  <si>
    <r>
      <t>16.127*depth</t>
    </r>
    <r>
      <rPr>
        <rFont val="Times New Roman"/>
        <color theme="1"/>
        <sz val="10.0"/>
        <vertAlign val="superscript"/>
      </rPr>
      <t>0.0897</t>
    </r>
  </si>
  <si>
    <r>
      <t>29.588*depth</t>
    </r>
    <r>
      <rPr>
        <rFont val="Times New Roman"/>
        <color theme="1"/>
        <sz val="10.0"/>
        <vertAlign val="superscript"/>
      </rPr>
      <t>0.0625</t>
    </r>
  </si>
  <si>
    <r>
      <t>32.06*depth</t>
    </r>
    <r>
      <rPr>
        <rFont val="Times New Roman"/>
        <color theme="1"/>
        <sz val="10.0"/>
        <vertAlign val="superscript"/>
      </rPr>
      <t>0.1537</t>
    </r>
  </si>
  <si>
    <r>
      <t>60.386*depth</t>
    </r>
    <r>
      <rPr>
        <rFont val="Times New Roman"/>
        <color theme="1"/>
        <sz val="10.0"/>
        <vertAlign val="superscript"/>
      </rPr>
      <t>0.12</t>
    </r>
  </si>
  <si>
    <r>
      <t>32.786*depth</t>
    </r>
    <r>
      <rPr>
        <rFont val="Times New Roman"/>
        <color theme="1"/>
        <sz val="10.0"/>
        <vertAlign val="superscript"/>
      </rPr>
      <t>0.0463</t>
    </r>
  </si>
  <si>
    <t>2.5"</t>
  </si>
  <si>
    <r>
      <t>48.885*depth</t>
    </r>
    <r>
      <rPr>
        <rFont val="Times New Roman"/>
        <color theme="1"/>
        <sz val="10.0"/>
        <vertAlign val="superscript"/>
      </rPr>
      <t>0.0519</t>
    </r>
  </si>
  <si>
    <r>
      <t>99.028*depth</t>
    </r>
    <r>
      <rPr>
        <rFont val="Times New Roman"/>
        <color theme="1"/>
        <sz val="10.0"/>
        <vertAlign val="superscript"/>
      </rPr>
      <t>0.0712</t>
    </r>
  </si>
  <si>
    <r>
      <t>141.13*depth</t>
    </r>
    <r>
      <rPr>
        <rFont val="Times New Roman"/>
        <color theme="1"/>
        <sz val="10.0"/>
        <vertAlign val="superscript"/>
      </rPr>
      <t>0.1432</t>
    </r>
  </si>
  <si>
    <r>
      <t>186.48*depth</t>
    </r>
    <r>
      <rPr>
        <rFont val="Times New Roman"/>
        <color theme="1"/>
        <sz val="10.0"/>
        <vertAlign val="superscript"/>
      </rPr>
      <t>0.4401</t>
    </r>
  </si>
  <si>
    <r>
      <t>248.96*depth</t>
    </r>
    <r>
      <rPr>
        <rFont val="Times New Roman"/>
        <color theme="1"/>
        <sz val="10.0"/>
        <vertAlign val="superscript"/>
      </rPr>
      <t>0.2857</t>
    </r>
  </si>
  <si>
    <r>
      <t>289.04*depth</t>
    </r>
    <r>
      <rPr>
        <rFont val="Times New Roman"/>
        <color theme="1"/>
        <sz val="10.0"/>
        <vertAlign val="superscript"/>
      </rPr>
      <t>0.2282</t>
    </r>
  </si>
  <si>
    <t>4"</t>
  </si>
  <si>
    <t>Water Level Depth, in.</t>
  </si>
  <si>
    <t>Avg. Water Level Depth, in.</t>
  </si>
  <si>
    <t>Incr. Depth, in</t>
  </si>
  <si>
    <t>L</t>
  </si>
  <si>
    <t>W</t>
  </si>
  <si>
    <t>Incr. Dis-charge, ft3</t>
  </si>
  <si>
    <t>Cumm. Dis-charge, ft3</t>
  </si>
  <si>
    <t>Cumm. Dis-charge, gal</t>
  </si>
  <si>
    <t>% of Total Volume Dis-charged</t>
  </si>
  <si>
    <t>Skimmer Flow Rate, gal/min</t>
  </si>
  <si>
    <t>Skimmer Flow Rate, cfs</t>
  </si>
  <si>
    <t>Cumm. Drain Time, hrs.</t>
  </si>
  <si>
    <t>3.0"</t>
  </si>
  <si>
    <t>5.0"</t>
  </si>
  <si>
    <t>6.0"</t>
  </si>
  <si>
    <t>8.0"</t>
  </si>
  <si>
    <t>Lowest depth that can still drain through skimmer.</t>
  </si>
  <si>
    <t>Skimmer / Orifice Combinations with Sufficient Flow:</t>
  </si>
  <si>
    <t>Skimmer draw down time for selection</t>
  </si>
  <si>
    <t xml:space="preserve">Typically recommend skimmer with draw </t>
  </si>
  <si>
    <t>down time closest to 72 hours</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</si>
</sst>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409]mmmm\ d\,\ yyyy"/>
    <numFmt numFmtId="165" formatCode="_(* #,##0_);_(* \(#,##0\);_(* &quot;-&quot;??_);_(@_)"/>
    <numFmt numFmtId="166" formatCode="_(* #,##0.000_);_(* \(#,##0.000\);_(* &quot;-&quot;??_);_(@_)"/>
    <numFmt numFmtId="167" formatCode="0.0"/>
    <numFmt numFmtId="168" formatCode="0.0%"/>
  </numFmts>
  <fonts count="12">
    <font>
      <sz val="11.0"/>
      <color theme="1"/>
      <name val="Arial"/>
    </font>
    <font>
      <b/>
      <sz val="14.0"/>
      <color theme="1"/>
      <name val="Calibri"/>
    </font>
    <font>
      <b/>
      <sz val="12.0"/>
      <color theme="1"/>
      <name val="Calibri"/>
    </font>
    <font>
      <sz val="11.0"/>
      <color theme="1"/>
      <name val="Calibri"/>
    </font>
    <font>
      <b/>
      <sz val="11.0"/>
      <color theme="1"/>
      <name val="Calibri"/>
    </font>
    <font/>
    <font>
      <b/>
      <sz val="14.0"/>
      <color rgb="FF000000"/>
      <name val="Calibri"/>
    </font>
    <font>
      <sz val="10.0"/>
      <color theme="1"/>
      <name val="Times New Roman"/>
    </font>
    <font>
      <sz val="12.0"/>
      <color theme="1"/>
      <name val="Calibri"/>
    </font>
    <font>
      <color theme="1"/>
      <name val="Calibri"/>
    </font>
    <font>
      <sz val="11.0"/>
      <color rgb="FF000000"/>
      <name val="Calibri"/>
    </font>
    <font>
      <b/>
      <sz val="10.0"/>
      <color theme="1"/>
      <name val="Calibri"/>
    </font>
  </fonts>
  <fills count="4">
    <fill>
      <patternFill patternType="none"/>
    </fill>
    <fill>
      <patternFill patternType="lightGray"/>
    </fill>
    <fill>
      <patternFill patternType="solid">
        <fgColor rgb="FFF9CB9C"/>
        <bgColor rgb="FFF9CB9C"/>
      </patternFill>
    </fill>
    <fill>
      <patternFill patternType="solid">
        <fgColor rgb="FFFFE599"/>
        <bgColor rgb="FFFFE599"/>
      </patternFill>
    </fill>
  </fills>
  <borders count="32">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top/>
      <bottom/>
    </border>
    <border>
      <top/>
      <bottom/>
    </border>
    <border>
      <left/>
      <right/>
      <top/>
      <bottom/>
    </border>
    <border>
      <left/>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right style="thick">
        <color rgb="FF000000"/>
      </right>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top style="thin">
        <color rgb="FF000000"/>
      </top>
      <bottom style="medium">
        <color rgb="FF000000"/>
      </bottom>
    </border>
    <border>
      <right style="thin">
        <color rgb="FF000000"/>
      </right>
      <top style="thin">
        <color rgb="FF000000"/>
      </top>
      <bottom style="medium">
        <color rgb="FF000000"/>
      </bottom>
    </border>
    <border>
      <left style="thin">
        <color rgb="FF000000"/>
      </left>
      <right style="thin">
        <color rgb="FF000000"/>
      </right>
      <bottom style="thin">
        <color rgb="FF000000"/>
      </bottom>
    </border>
    <border>
      <right style="thick">
        <color rgb="FF000000"/>
      </right>
    </border>
    <border>
      <left style="thin">
        <color rgb="FF000000"/>
      </left>
      <right style="thin">
        <color rgb="FF000000"/>
      </right>
      <top style="thin">
        <color rgb="FF000000"/>
      </top>
      <bottom style="thin">
        <color rgb="FF000000"/>
      </bottom>
    </border>
    <border>
      <right style="thick">
        <color rgb="FF000000"/>
      </right>
      <bottom style="thin">
        <color rgb="FF000000"/>
      </bottom>
    </border>
    <border>
      <left style="thin">
        <color rgb="FF000000"/>
      </left>
      <right style="thin">
        <color rgb="FF000000"/>
      </right>
    </border>
    <border>
      <left style="thin">
        <color rgb="FF000000"/>
      </left>
      <right style="thick">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ck">
        <color rgb="FF000000"/>
      </right>
      <top style="thin">
        <color rgb="FF000000"/>
      </top>
      <bottom style="medium">
        <color rgb="FF000000"/>
      </bottom>
    </border>
    <border>
      <left/>
      <top style="thin">
        <color rgb="FF000000"/>
      </top>
      <bottom/>
    </border>
    <border>
      <top style="thin">
        <color rgb="FF000000"/>
      </top>
      <bottom/>
    </border>
    <border>
      <right style="thick">
        <color rgb="FF000000"/>
      </right>
      <top style="thin">
        <color rgb="FF000000"/>
      </top>
      <bottom style="thin">
        <color rgb="FF000000"/>
      </bottom>
    </border>
  </borders>
  <cellStyleXfs count="1">
    <xf borderId="0" fillId="0" fontId="0" numFmtId="0" applyAlignment="1" applyFont="1"/>
  </cellStyleXfs>
  <cellXfs count="118">
    <xf borderId="0" fillId="0" fontId="0" numFmtId="0" xfId="0" applyAlignment="1" applyFont="1">
      <alignment readingOrder="0" shrinkToFit="0" vertical="bottom" wrapText="0"/>
    </xf>
    <xf borderId="0" fillId="0" fontId="1" numFmtId="0" xfId="0" applyAlignment="1" applyFont="1">
      <alignment horizontal="center" vertical="top"/>
    </xf>
    <xf borderId="0" fillId="0" fontId="1" numFmtId="0" xfId="0" applyAlignment="1" applyFont="1">
      <alignment horizontal="center"/>
    </xf>
    <xf borderId="0" fillId="0" fontId="1" numFmtId="0" xfId="0" applyFont="1"/>
    <xf borderId="0" fillId="0" fontId="2" numFmtId="0" xfId="0" applyAlignment="1" applyFont="1">
      <alignment horizontal="left" vertical="center"/>
    </xf>
    <xf borderId="0" fillId="0" fontId="2" numFmtId="164" xfId="0" applyAlignment="1" applyFont="1" applyNumberFormat="1">
      <alignment horizontal="left" vertical="center"/>
    </xf>
    <xf borderId="0" fillId="0" fontId="1" numFmtId="0" xfId="0" applyAlignment="1" applyFont="1">
      <alignment horizontal="left" vertical="center"/>
    </xf>
    <xf borderId="0" fillId="0" fontId="3" numFmtId="0" xfId="0" applyAlignment="1" applyFont="1">
      <alignment horizontal="left" vertical="center"/>
    </xf>
    <xf borderId="1" fillId="0" fontId="4" numFmtId="0" xfId="0" applyAlignment="1" applyBorder="1" applyFont="1">
      <alignment horizontal="center"/>
    </xf>
    <xf borderId="0" fillId="0" fontId="1" numFmtId="0" xfId="0" applyAlignment="1" applyFont="1">
      <alignment horizontal="left" vertical="top"/>
    </xf>
    <xf borderId="2" fillId="0" fontId="5" numFmtId="0" xfId="0" applyBorder="1" applyFont="1"/>
    <xf borderId="3" fillId="0" fontId="5" numFmtId="0" xfId="0" applyBorder="1" applyFont="1"/>
    <xf borderId="0" fillId="0" fontId="6" numFmtId="0" xfId="0" applyAlignment="1" applyFont="1">
      <alignment horizontal="left" vertical="top"/>
    </xf>
    <xf borderId="0" fillId="0" fontId="2" numFmtId="0" xfId="0" applyAlignment="1" applyFont="1">
      <alignment horizontal="left" shrinkToFit="0" vertical="top" wrapText="1"/>
    </xf>
    <xf borderId="0" fillId="0" fontId="1" numFmtId="0" xfId="0" applyAlignment="1" applyFont="1">
      <alignment horizontal="center" vertical="center"/>
    </xf>
    <xf borderId="4" fillId="2" fontId="1" numFmtId="164" xfId="0" applyAlignment="1" applyBorder="1" applyFill="1" applyFont="1" applyNumberFormat="1">
      <alignment horizontal="left" vertical="center"/>
    </xf>
    <xf borderId="5" fillId="0" fontId="5" numFmtId="0" xfId="0" applyBorder="1" applyFont="1"/>
    <xf borderId="6" fillId="2" fontId="1" numFmtId="0" xfId="0" applyAlignment="1" applyBorder="1" applyFont="1">
      <alignment horizontal="left" vertical="center"/>
    </xf>
    <xf borderId="1" fillId="0" fontId="3" numFmtId="0" xfId="0" applyAlignment="1" applyBorder="1" applyFont="1">
      <alignment horizontal="right"/>
    </xf>
    <xf borderId="6" fillId="2" fontId="1" numFmtId="0" xfId="0" applyAlignment="1" applyBorder="1" applyFont="1">
      <alignment horizontal="center" vertical="center"/>
    </xf>
    <xf borderId="3" fillId="0" fontId="3" numFmtId="0" xfId="0" applyAlignment="1" applyBorder="1" applyFont="1">
      <alignment horizontal="left"/>
    </xf>
    <xf borderId="4" fillId="2" fontId="1" numFmtId="0" xfId="0" applyAlignment="1" applyBorder="1" applyFont="1">
      <alignment horizontal="left" vertical="center"/>
    </xf>
    <xf borderId="6" fillId="2" fontId="3" numFmtId="0" xfId="0" applyAlignment="1" applyBorder="1" applyFont="1">
      <alignment horizontal="left" vertical="center"/>
    </xf>
    <xf quotePrefix="1" borderId="4" fillId="2" fontId="1" numFmtId="0" xfId="0" applyAlignment="1" applyBorder="1" applyFont="1">
      <alignment horizontal="left" vertical="center"/>
    </xf>
    <xf borderId="0" fillId="0" fontId="3" numFmtId="0" xfId="0" applyAlignment="1" applyFont="1">
      <alignment vertical="center"/>
    </xf>
    <xf borderId="7" fillId="2" fontId="3" numFmtId="0" xfId="0" applyAlignment="1" applyBorder="1" applyFont="1">
      <alignment horizontal="left"/>
    </xf>
    <xf borderId="7" fillId="3" fontId="3" numFmtId="165" xfId="0" applyAlignment="1" applyBorder="1" applyFill="1" applyFont="1" applyNumberFormat="1">
      <alignment horizontal="left"/>
    </xf>
    <xf borderId="7" fillId="3" fontId="3" numFmtId="0" xfId="0" applyAlignment="1" applyBorder="1" applyFont="1">
      <alignment horizontal="left"/>
    </xf>
    <xf borderId="1" fillId="0" fontId="7" numFmtId="0" xfId="0" applyAlignment="1" applyBorder="1" applyFont="1">
      <alignment horizontal="center" shrinkToFit="0" wrapText="1"/>
    </xf>
    <xf borderId="8" fillId="0" fontId="3" numFmtId="0" xfId="0" applyAlignment="1" applyBorder="1" applyFont="1">
      <alignment horizontal="right"/>
    </xf>
    <xf borderId="9" fillId="0" fontId="5" numFmtId="0" xfId="0" applyBorder="1" applyFont="1"/>
    <xf borderId="10" fillId="0" fontId="3" numFmtId="0" xfId="0" applyAlignment="1" applyBorder="1" applyFont="1">
      <alignment horizontal="left"/>
    </xf>
    <xf borderId="8" fillId="0" fontId="7" numFmtId="0" xfId="0" applyAlignment="1" applyBorder="1" applyFont="1">
      <alignment horizontal="center" shrinkToFit="0" wrapText="1"/>
    </xf>
    <xf borderId="11" fillId="0" fontId="3" numFmtId="0" xfId="0" applyAlignment="1" applyBorder="1" applyFont="1">
      <alignment horizontal="right"/>
    </xf>
    <xf borderId="9" fillId="0" fontId="7" numFmtId="0" xfId="0" applyAlignment="1" applyBorder="1" applyFont="1">
      <alignment horizontal="center" shrinkToFit="0" wrapText="1"/>
    </xf>
    <xf borderId="10" fillId="0" fontId="3" numFmtId="0" xfId="0" applyBorder="1" applyFont="1"/>
    <xf borderId="8" fillId="0" fontId="3" numFmtId="0" xfId="0" applyBorder="1" applyFont="1"/>
    <xf borderId="9" fillId="0" fontId="3" numFmtId="0" xfId="0" applyBorder="1" applyFont="1"/>
    <xf borderId="12" fillId="0" fontId="3" numFmtId="0" xfId="0" applyAlignment="1" applyBorder="1" applyFont="1">
      <alignment horizontal="left"/>
    </xf>
    <xf borderId="13" fillId="0" fontId="3" numFmtId="0" xfId="0" applyBorder="1" applyFont="1"/>
    <xf borderId="11" fillId="0" fontId="3" numFmtId="0" xfId="0" applyAlignment="1" applyBorder="1" applyFont="1">
      <alignment horizontal="right" vertical="center"/>
    </xf>
    <xf borderId="12" fillId="0" fontId="5" numFmtId="0" xfId="0" applyBorder="1" applyFont="1"/>
    <xf borderId="14" fillId="0" fontId="5" numFmtId="0" xfId="0" applyBorder="1" applyFont="1"/>
    <xf borderId="15" fillId="0" fontId="5" numFmtId="0" xfId="0" applyBorder="1" applyFont="1"/>
    <xf borderId="16" fillId="0" fontId="5" numFmtId="0" xfId="0" applyBorder="1" applyFont="1"/>
    <xf borderId="0" fillId="0" fontId="8" numFmtId="0" xfId="0" applyFont="1"/>
    <xf borderId="0" fillId="0" fontId="8" numFmtId="165" xfId="0" applyFont="1" applyNumberFormat="1"/>
    <xf borderId="0" fillId="0" fontId="9" numFmtId="0" xfId="0" applyFont="1"/>
    <xf borderId="17" fillId="3" fontId="3" numFmtId="0" xfId="0" applyAlignment="1" applyBorder="1" applyFont="1">
      <alignment horizontal="left"/>
    </xf>
    <xf borderId="0" fillId="0" fontId="8" numFmtId="166" xfId="0" applyFont="1" applyNumberFormat="1"/>
    <xf borderId="8" fillId="0" fontId="7" numFmtId="2" xfId="0" applyAlignment="1" applyBorder="1" applyFont="1" applyNumberFormat="1">
      <alignment horizontal="center" shrinkToFit="0" vertical="center" wrapText="1"/>
    </xf>
    <xf borderId="10" fillId="0" fontId="5" numFmtId="0" xfId="0" applyBorder="1" applyFont="1"/>
    <xf borderId="13" fillId="0" fontId="5" numFmtId="0" xfId="0" applyBorder="1" applyFont="1"/>
    <xf borderId="9" fillId="0" fontId="7" numFmtId="2" xfId="0" applyAlignment="1" applyBorder="1" applyFont="1" applyNumberFormat="1">
      <alignment horizontal="center" shrinkToFit="0" vertical="center" wrapText="1"/>
    </xf>
    <xf borderId="18" fillId="0" fontId="3" numFmtId="0" xfId="0" applyAlignment="1" applyBorder="1" applyFont="1">
      <alignment horizontal="center"/>
    </xf>
    <xf borderId="19" fillId="0" fontId="10" numFmtId="0" xfId="0" applyAlignment="1" applyBorder="1" applyFont="1">
      <alignment horizontal="center"/>
    </xf>
    <xf borderId="20" fillId="0" fontId="5" numFmtId="0" xfId="0" applyBorder="1" applyFont="1"/>
    <xf quotePrefix="1" borderId="21" fillId="0" fontId="3" numFmtId="0" xfId="0" applyAlignment="1" applyBorder="1" applyFont="1">
      <alignment horizontal="center" vertical="center"/>
    </xf>
    <xf borderId="14" fillId="0" fontId="3" numFmtId="1" xfId="0" applyAlignment="1" applyBorder="1" applyFont="1" applyNumberFormat="1">
      <alignment horizontal="center"/>
    </xf>
    <xf borderId="0" fillId="0" fontId="3" numFmtId="0" xfId="0" applyAlignment="1" applyFont="1">
      <alignment horizontal="left"/>
    </xf>
    <xf borderId="11" fillId="0" fontId="5" numFmtId="0" xfId="0" applyBorder="1" applyFont="1"/>
    <xf borderId="14" fillId="0" fontId="3" numFmtId="167" xfId="0" applyAlignment="1" applyBorder="1" applyFont="1" applyNumberFormat="1">
      <alignment horizontal="center"/>
    </xf>
    <xf borderId="22" fillId="0" fontId="5" numFmtId="0" xfId="0" applyBorder="1" applyFont="1"/>
    <xf borderId="23" fillId="0" fontId="3" numFmtId="0" xfId="0" applyAlignment="1" applyBorder="1" applyFont="1">
      <alignment horizontal="center" vertical="center"/>
    </xf>
    <xf borderId="14" fillId="0" fontId="3" numFmtId="0" xfId="0" applyAlignment="1" applyBorder="1" applyFont="1">
      <alignment horizontal="right"/>
    </xf>
    <xf borderId="1" fillId="0" fontId="3" numFmtId="1" xfId="0" applyAlignment="1" applyBorder="1" applyFont="1" applyNumberFormat="1">
      <alignment horizontal="center"/>
    </xf>
    <xf borderId="15" fillId="0" fontId="3" numFmtId="0" xfId="0" applyAlignment="1" applyBorder="1" applyFont="1">
      <alignment horizontal="left"/>
    </xf>
    <xf borderId="1" fillId="0" fontId="3" numFmtId="167" xfId="0" applyAlignment="1" applyBorder="1" applyFont="1" applyNumberFormat="1">
      <alignment horizontal="center"/>
    </xf>
    <xf borderId="11" fillId="0" fontId="7" numFmtId="0" xfId="0" applyAlignment="1" applyBorder="1" applyFont="1">
      <alignment horizontal="center" vertical="center"/>
    </xf>
    <xf borderId="0" fillId="0" fontId="7" numFmtId="0" xfId="0" applyAlignment="1" applyFont="1">
      <alignment horizontal="center" vertical="center"/>
    </xf>
    <xf borderId="18" fillId="0" fontId="3" numFmtId="0" xfId="0" applyAlignment="1" applyBorder="1" applyFont="1">
      <alignment horizontal="center" vertical="center"/>
    </xf>
    <xf borderId="19" fillId="0" fontId="3" numFmtId="1" xfId="0" applyAlignment="1" applyBorder="1" applyFont="1" applyNumberFormat="1">
      <alignment horizontal="center"/>
    </xf>
    <xf borderId="8" fillId="0" fontId="3" numFmtId="0" xfId="0" applyAlignment="1" applyBorder="1" applyFont="1">
      <alignment horizontal="right" vertical="center"/>
    </xf>
    <xf borderId="19" fillId="0" fontId="3" numFmtId="167" xfId="0" applyAlignment="1" applyBorder="1" applyFont="1" applyNumberFormat="1">
      <alignment horizontal="center"/>
    </xf>
    <xf borderId="11" fillId="0" fontId="7" numFmtId="0" xfId="0" applyAlignment="1" applyBorder="1" applyFont="1">
      <alignment horizontal="center" shrinkToFit="0" vertical="center" wrapText="1"/>
    </xf>
    <xf borderId="0" fillId="0" fontId="7" numFmtId="0" xfId="0" applyAlignment="1" applyFont="1">
      <alignment horizontal="center" shrinkToFit="0" vertical="center" wrapText="1"/>
    </xf>
    <xf borderId="21" fillId="0" fontId="3" numFmtId="0" xfId="0" applyAlignment="1" applyBorder="1" applyFont="1">
      <alignment horizontal="center" vertical="center"/>
    </xf>
    <xf borderId="24" fillId="0" fontId="5" numFmtId="0" xfId="0" applyBorder="1" applyFont="1"/>
    <xf borderId="23" fillId="0" fontId="11" numFmtId="0" xfId="0" applyAlignment="1" applyBorder="1" applyFont="1">
      <alignment horizontal="center" shrinkToFit="0" wrapText="1"/>
    </xf>
    <xf borderId="25" fillId="0" fontId="3" numFmtId="0" xfId="0" applyAlignment="1" applyBorder="1" applyFont="1">
      <alignment horizontal="center" vertical="center"/>
    </xf>
    <xf borderId="26" fillId="0" fontId="11" numFmtId="0" xfId="0" applyAlignment="1" applyBorder="1" applyFont="1">
      <alignment horizontal="center" shrinkToFit="0" wrapText="1"/>
    </xf>
    <xf borderId="3" fillId="0" fontId="11" numFmtId="0" xfId="0" applyAlignment="1" applyBorder="1" applyFont="1">
      <alignment horizontal="center" shrinkToFit="0" wrapText="1"/>
    </xf>
    <xf borderId="23" fillId="0" fontId="3" numFmtId="0" xfId="0" applyAlignment="1" applyBorder="1" applyFont="1">
      <alignment horizontal="center"/>
    </xf>
    <xf borderId="0" fillId="0" fontId="3" numFmtId="0" xfId="0" applyAlignment="1" applyFont="1">
      <alignment horizontal="center" vertical="center"/>
    </xf>
    <xf borderId="23" fillId="0" fontId="3" numFmtId="1" xfId="0" applyAlignment="1" applyBorder="1" applyFont="1" applyNumberFormat="1">
      <alignment horizontal="center"/>
    </xf>
    <xf borderId="26" fillId="0" fontId="3" numFmtId="1" xfId="0" applyAlignment="1" applyBorder="1" applyFont="1" applyNumberFormat="1">
      <alignment horizontal="center"/>
    </xf>
    <xf borderId="3" fillId="0" fontId="3" numFmtId="1" xfId="0" applyAlignment="1" applyBorder="1" applyFont="1" applyNumberFormat="1">
      <alignment horizontal="center"/>
    </xf>
    <xf borderId="23" fillId="0" fontId="3" numFmtId="3" xfId="0" applyAlignment="1" applyBorder="1" applyFont="1" applyNumberFormat="1">
      <alignment horizontal="center"/>
    </xf>
    <xf borderId="23" fillId="0" fontId="3" numFmtId="168" xfId="0" applyAlignment="1" applyBorder="1" applyFont="1" applyNumberFormat="1">
      <alignment horizontal="center"/>
    </xf>
    <xf borderId="23" fillId="0" fontId="3" numFmtId="2" xfId="0" applyAlignment="1" applyBorder="1" applyFont="1" applyNumberFormat="1">
      <alignment horizontal="center"/>
    </xf>
    <xf borderId="27" fillId="0" fontId="3" numFmtId="168" xfId="0" applyAlignment="1" applyBorder="1" applyFont="1" applyNumberFormat="1">
      <alignment horizontal="center"/>
    </xf>
    <xf borderId="1" fillId="0" fontId="3" numFmtId="3" xfId="0" applyAlignment="1" applyBorder="1" applyFont="1" applyNumberFormat="1">
      <alignment horizontal="center"/>
    </xf>
    <xf borderId="18" fillId="0" fontId="3" numFmtId="1" xfId="0" applyAlignment="1" applyBorder="1" applyFont="1" applyNumberFormat="1">
      <alignment horizontal="center"/>
    </xf>
    <xf borderId="18" fillId="0" fontId="3" numFmtId="3" xfId="0" applyAlignment="1" applyBorder="1" applyFont="1" applyNumberFormat="1">
      <alignment horizontal="center"/>
    </xf>
    <xf borderId="19" fillId="0" fontId="3" numFmtId="3" xfId="0" applyAlignment="1" applyBorder="1" applyFont="1" applyNumberFormat="1">
      <alignment horizontal="center"/>
    </xf>
    <xf borderId="18" fillId="0" fontId="3" numFmtId="168" xfId="0" applyAlignment="1" applyBorder="1" applyFont="1" applyNumberFormat="1">
      <alignment horizontal="center"/>
    </xf>
    <xf borderId="18" fillId="0" fontId="3" numFmtId="2" xfId="0" applyAlignment="1" applyBorder="1" applyFont="1" applyNumberFormat="1">
      <alignment horizontal="center"/>
    </xf>
    <xf borderId="18" fillId="2" fontId="3" numFmtId="1" xfId="0" applyAlignment="1" applyBorder="1" applyFont="1" applyNumberFormat="1">
      <alignment horizontal="center"/>
    </xf>
    <xf borderId="28" fillId="2" fontId="3" numFmtId="1" xfId="0" applyAlignment="1" applyBorder="1" applyFont="1" applyNumberFormat="1">
      <alignment horizontal="center"/>
    </xf>
    <xf borderId="21" fillId="0" fontId="3" numFmtId="0" xfId="0" applyAlignment="1" applyBorder="1" applyFont="1">
      <alignment horizontal="center"/>
    </xf>
    <xf borderId="21" fillId="0" fontId="3" numFmtId="1" xfId="0" applyAlignment="1" applyBorder="1" applyFont="1" applyNumberFormat="1">
      <alignment horizontal="center"/>
    </xf>
    <xf borderId="21" fillId="0" fontId="3" numFmtId="3" xfId="0" applyAlignment="1" applyBorder="1" applyFont="1" applyNumberFormat="1">
      <alignment horizontal="center"/>
    </xf>
    <xf borderId="14" fillId="0" fontId="3" numFmtId="3" xfId="0" applyAlignment="1" applyBorder="1" applyFont="1" applyNumberFormat="1">
      <alignment horizontal="center"/>
    </xf>
    <xf borderId="21" fillId="0" fontId="3" numFmtId="168" xfId="0" applyAlignment="1" applyBorder="1" applyFont="1" applyNumberFormat="1">
      <alignment horizontal="center"/>
    </xf>
    <xf borderId="21" fillId="0" fontId="3" numFmtId="2" xfId="0" applyAlignment="1" applyBorder="1" applyFont="1" applyNumberFormat="1">
      <alignment horizontal="center"/>
    </xf>
    <xf borderId="29" fillId="2" fontId="3" numFmtId="0" xfId="0" applyAlignment="1" applyBorder="1" applyFont="1">
      <alignment horizontal="center" shrinkToFit="0" vertical="top" wrapText="1"/>
    </xf>
    <xf borderId="30" fillId="0" fontId="5" numFmtId="0" xfId="0" applyBorder="1" applyFont="1"/>
    <xf borderId="1" fillId="0" fontId="4" numFmtId="168" xfId="0" applyAlignment="1" applyBorder="1" applyFont="1" applyNumberFormat="1">
      <alignment horizontal="right" shrinkToFit="0" vertical="center" wrapText="1"/>
    </xf>
    <xf borderId="1" fillId="0" fontId="4" numFmtId="167" xfId="0" applyAlignment="1" applyBorder="1" applyFont="1" applyNumberFormat="1">
      <alignment horizontal="center" shrinkToFit="0" vertical="center" wrapText="1"/>
    </xf>
    <xf borderId="31" fillId="0" fontId="5" numFmtId="0" xfId="0" applyBorder="1" applyFont="1"/>
    <xf borderId="2" fillId="0" fontId="4" numFmtId="167" xfId="0" applyAlignment="1" applyBorder="1" applyFont="1" applyNumberFormat="1">
      <alignment horizontal="center" shrinkToFit="0" vertical="center" wrapText="1"/>
    </xf>
    <xf borderId="0" fillId="0" fontId="3" numFmtId="167" xfId="0" applyFont="1" applyNumberFormat="1"/>
    <xf borderId="0" fillId="0" fontId="3" numFmtId="0" xfId="0" applyAlignment="1" applyFont="1">
      <alignment horizontal="center"/>
    </xf>
    <xf borderId="0" fillId="0" fontId="3" numFmtId="1" xfId="0" applyAlignment="1" applyFont="1" applyNumberFormat="1">
      <alignment horizontal="center"/>
    </xf>
    <xf borderId="0" fillId="0" fontId="3" numFmtId="168" xfId="0" applyAlignment="1" applyFont="1" applyNumberFormat="1">
      <alignment horizontal="center"/>
    </xf>
    <xf borderId="0" fillId="0" fontId="3" numFmtId="167" xfId="0" applyAlignment="1" applyFont="1" applyNumberFormat="1">
      <alignment horizontal="center"/>
    </xf>
    <xf borderId="6" fillId="2" fontId="3" numFmtId="1" xfId="0" applyAlignment="1" applyBorder="1" applyFont="1" applyNumberFormat="1">
      <alignment horizontal="left"/>
    </xf>
    <xf borderId="0" fillId="0" fontId="3" numFmtId="1" xfId="0" applyAlignment="1" applyFont="1" applyNumberFormat="1">
      <alignment horizontal="left" vertical="center"/>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504825</xdr:colOff>
      <xdr:row>38</xdr:row>
      <xdr:rowOff>0</xdr:rowOff>
    </xdr:from>
    <xdr:ext cx="219075" cy="457200"/>
    <xdr:grpSp>
      <xdr:nvGrpSpPr>
        <xdr:cNvPr id="2" name="Shape 2"/>
        <xdr:cNvGrpSpPr/>
      </xdr:nvGrpSpPr>
      <xdr:grpSpPr>
        <a:xfrm>
          <a:off x="5236463" y="3291628"/>
          <a:ext cx="219075" cy="976745"/>
          <a:chOff x="5236463" y="3291628"/>
          <a:chExt cx="219075" cy="976745"/>
        </a:xfrm>
      </xdr:grpSpPr>
      <xdr:grpSp>
        <xdr:nvGrpSpPr>
          <xdr:cNvPr id="3" name="Shape 3"/>
          <xdr:cNvGrpSpPr/>
        </xdr:nvGrpSpPr>
        <xdr:grpSpPr>
          <a:xfrm>
            <a:off x="5236463" y="3291628"/>
            <a:ext cx="219075" cy="976745"/>
            <a:chOff x="5122163" y="3556163"/>
            <a:chExt cx="447675" cy="447675"/>
          </a:xfrm>
        </xdr:grpSpPr>
        <xdr:sp>
          <xdr:nvSpPr>
            <xdr:cNvPr id="4" name="Shape 4"/>
            <xdr:cNvSpPr/>
          </xdr:nvSpPr>
          <xdr:spPr>
            <a:xfrm>
              <a:off x="5122163" y="3675225"/>
              <a:ext cx="447675" cy="2095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xnSp>
          <xdr:nvCxnSpPr>
            <xdr:cNvPr id="5" name="Shape 5"/>
            <xdr:cNvCxnSpPr/>
          </xdr:nvCxnSpPr>
          <xdr:spPr>
            <a:xfrm rot="-5400000">
              <a:off x="5122163" y="3675225"/>
              <a:ext cx="447675" cy="209550"/>
            </a:xfrm>
            <a:prstGeom prst="straightConnector1">
              <a:avLst/>
            </a:prstGeom>
            <a:noFill/>
            <a:ln cap="flat" cmpd="sng" w="9525">
              <a:solidFill>
                <a:schemeClr val="dk1"/>
              </a:solidFill>
              <a:prstDash val="solid"/>
              <a:round/>
              <a:headEnd len="sm" w="sm" type="none"/>
              <a:tailEnd len="med" w="med" type="stealth"/>
            </a:ln>
          </xdr:spPr>
        </xdr:cxnSp>
      </xdr:grpSp>
    </xdr:grpSp>
    <xdr:clientData fLocksWithSheet="0"/>
  </xdr:oneCellAnchor>
  <xdr:oneCellAnchor>
    <xdr:from>
      <xdr:col>0</xdr:col>
      <xdr:colOff>0</xdr:colOff>
      <xdr:row>0</xdr:row>
      <xdr:rowOff>0</xdr:rowOff>
    </xdr:from>
    <xdr:ext cx="581025" cy="2095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381000" cy="1333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8" width="7.63"/>
    <col customWidth="1" min="9" max="9" width="8.75"/>
    <col customWidth="1" min="10" max="57" width="7.63"/>
    <col customWidth="1" min="58" max="58" width="9.38"/>
  </cols>
  <sheetData>
    <row r="1" ht="94.5" customHeight="1">
      <c r="A1" s="1"/>
      <c r="V1" s="9"/>
      <c r="W1" s="9"/>
      <c r="X1" s="9"/>
      <c r="Y1" s="9"/>
      <c r="Z1" s="9"/>
      <c r="AA1" s="9"/>
      <c r="AB1" s="9"/>
      <c r="AC1" s="9"/>
      <c r="AD1" s="9"/>
      <c r="AE1" s="9"/>
      <c r="AF1" s="9"/>
      <c r="AG1" s="9"/>
      <c r="AH1" s="9"/>
      <c r="AI1" s="9"/>
    </row>
    <row r="2" ht="30.0" customHeight="1">
      <c r="A2" s="12" t="s">
        <v>9</v>
      </c>
    </row>
    <row r="3" ht="92.25" customHeight="1">
      <c r="A3" s="13" t="s">
        <v>10</v>
      </c>
      <c r="V3" s="14"/>
      <c r="W3" s="14"/>
      <c r="X3" s="14"/>
      <c r="Y3" s="14"/>
      <c r="Z3" s="14"/>
      <c r="AA3" s="14"/>
      <c r="AB3" s="14"/>
      <c r="AC3" s="14"/>
      <c r="AD3" s="14"/>
      <c r="AE3" s="14"/>
      <c r="AF3" s="14"/>
      <c r="AG3" s="14"/>
      <c r="AH3" s="14"/>
      <c r="AI3" s="14"/>
    </row>
    <row r="4" ht="30.0" customHeight="1">
      <c r="A4" s="6" t="s">
        <v>1</v>
      </c>
      <c r="D4" s="15">
        <v>43831.0</v>
      </c>
      <c r="E4" s="16"/>
      <c r="F4" s="16"/>
      <c r="G4" s="16"/>
      <c r="H4" s="16"/>
      <c r="I4" s="14"/>
      <c r="J4" s="17" t="s">
        <v>11</v>
      </c>
      <c r="K4" s="19"/>
      <c r="L4" s="6"/>
      <c r="M4" s="14"/>
      <c r="N4" s="14"/>
      <c r="O4" s="14"/>
      <c r="P4" s="14"/>
      <c r="Q4" s="14"/>
      <c r="R4" s="14"/>
      <c r="S4" s="14"/>
      <c r="T4" s="14"/>
      <c r="U4" s="14"/>
      <c r="V4" s="14"/>
      <c r="W4" s="14"/>
      <c r="X4" s="14"/>
      <c r="Y4" s="14"/>
      <c r="Z4" s="14"/>
      <c r="AA4" s="14"/>
      <c r="AB4" s="14"/>
      <c r="AC4" s="14"/>
      <c r="AD4" s="14"/>
      <c r="AE4" s="14"/>
      <c r="AF4" s="14"/>
      <c r="AG4" s="14"/>
      <c r="AH4" s="14"/>
      <c r="AI4" s="14"/>
    </row>
    <row r="5" ht="30.0" customHeight="1">
      <c r="A5" s="6" t="s">
        <v>4</v>
      </c>
      <c r="D5" s="21"/>
      <c r="E5" s="16"/>
      <c r="F5" s="16"/>
      <c r="G5" s="16"/>
      <c r="H5" s="16"/>
      <c r="I5" s="6"/>
      <c r="J5" s="6" t="s">
        <v>6</v>
      </c>
      <c r="N5" s="7"/>
      <c r="O5" s="21" t="s">
        <v>13</v>
      </c>
      <c r="P5" s="16"/>
      <c r="Q5" s="16"/>
      <c r="R5" s="16"/>
      <c r="S5" s="16"/>
      <c r="T5" s="16"/>
      <c r="U5" s="16"/>
      <c r="V5" s="6"/>
      <c r="W5" s="6"/>
      <c r="X5" s="6"/>
      <c r="Y5" s="6"/>
      <c r="Z5" s="6"/>
      <c r="AA5" s="6"/>
      <c r="AB5" s="6"/>
      <c r="AC5" s="6"/>
      <c r="AD5" s="6"/>
      <c r="AE5" s="6"/>
      <c r="AF5" s="6"/>
      <c r="AG5" s="6"/>
      <c r="AH5" s="6"/>
      <c r="AI5" s="6"/>
    </row>
    <row r="6" ht="30.0" customHeight="1">
      <c r="A6" s="6" t="s">
        <v>5</v>
      </c>
      <c r="D6" s="21"/>
      <c r="E6" s="16"/>
      <c r="F6" s="16"/>
      <c r="G6" s="16"/>
      <c r="H6" s="16"/>
      <c r="I6" s="6"/>
      <c r="J6" s="21" t="s">
        <v>14</v>
      </c>
      <c r="K6" s="16"/>
      <c r="L6" s="16"/>
      <c r="M6" s="16"/>
      <c r="N6" s="22"/>
      <c r="O6" s="23" t="s">
        <v>15</v>
      </c>
      <c r="P6" s="16"/>
      <c r="Q6" s="16"/>
      <c r="R6" s="16"/>
      <c r="S6" s="16"/>
      <c r="T6" s="16"/>
      <c r="U6" s="16"/>
      <c r="V6" s="6"/>
      <c r="W6" s="6"/>
      <c r="X6" s="6"/>
      <c r="Y6" s="6"/>
      <c r="Z6" s="6"/>
      <c r="AA6" s="6"/>
      <c r="AB6" s="6"/>
      <c r="AC6" s="6"/>
      <c r="AD6" s="6"/>
      <c r="AE6" s="6"/>
      <c r="AF6" s="6"/>
      <c r="AG6" s="6"/>
      <c r="AH6" s="6"/>
      <c r="AI6" s="6"/>
    </row>
    <row r="7" ht="30.0" customHeight="1">
      <c r="A7" s="6" t="s">
        <v>2</v>
      </c>
      <c r="D7" s="21"/>
      <c r="E7" s="16"/>
      <c r="F7" s="16"/>
      <c r="G7" s="16"/>
      <c r="H7" s="16"/>
      <c r="I7" s="6"/>
      <c r="J7" s="21" t="s">
        <v>16</v>
      </c>
      <c r="K7" s="16"/>
      <c r="L7" s="16"/>
      <c r="M7" s="16"/>
      <c r="N7" s="22"/>
      <c r="O7" s="23" t="s">
        <v>15</v>
      </c>
      <c r="P7" s="16"/>
      <c r="Q7" s="16"/>
      <c r="R7" s="16"/>
      <c r="S7" s="16"/>
      <c r="T7" s="16"/>
      <c r="U7" s="16"/>
      <c r="V7" s="6"/>
      <c r="W7" s="6"/>
      <c r="X7" s="6"/>
      <c r="Y7" s="6"/>
      <c r="Z7" s="6"/>
      <c r="AA7" s="6"/>
      <c r="AB7" s="6"/>
      <c r="AC7" s="6"/>
      <c r="AD7" s="6"/>
      <c r="AE7" s="6"/>
      <c r="AF7" s="6"/>
      <c r="AG7" s="6"/>
      <c r="AH7" s="6"/>
      <c r="AI7" s="6"/>
    </row>
    <row r="8" ht="30.0" customHeight="1">
      <c r="A8" s="6" t="s">
        <v>3</v>
      </c>
      <c r="D8" s="21"/>
      <c r="E8" s="16"/>
      <c r="F8" s="16"/>
      <c r="G8" s="16"/>
      <c r="H8" s="16"/>
      <c r="I8" s="6"/>
      <c r="J8" s="21" t="s">
        <v>17</v>
      </c>
      <c r="K8" s="16"/>
      <c r="L8" s="16"/>
      <c r="M8" s="16"/>
      <c r="N8" s="22"/>
      <c r="O8" s="23" t="s">
        <v>15</v>
      </c>
      <c r="P8" s="16"/>
      <c r="Q8" s="16"/>
      <c r="R8" s="16"/>
      <c r="S8" s="16"/>
      <c r="T8" s="16"/>
      <c r="U8" s="1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row>
    <row r="9" ht="30.0" customHeight="1">
      <c r="A9" s="6"/>
      <c r="B9" s="24"/>
      <c r="C9" s="24"/>
      <c r="D9" s="17"/>
      <c r="E9" s="22"/>
      <c r="F9" s="22"/>
      <c r="G9" s="22"/>
      <c r="H9" s="22"/>
      <c r="I9" s="6"/>
      <c r="J9" s="17"/>
      <c r="K9" s="17"/>
      <c r="L9" s="22"/>
      <c r="M9" s="22"/>
      <c r="N9" s="22"/>
      <c r="O9" s="17"/>
      <c r="P9" s="22"/>
      <c r="Q9" s="22"/>
      <c r="R9" s="22"/>
      <c r="S9" s="22"/>
      <c r="T9" s="22"/>
      <c r="U9" s="22"/>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row>
    <row r="10" ht="14.25" customHeight="1"/>
    <row r="11" ht="15.0" customHeight="1">
      <c r="A11" s="8" t="s">
        <v>7</v>
      </c>
      <c r="B11" s="10"/>
      <c r="C11" s="10"/>
      <c r="D11" s="11"/>
      <c r="E11" s="8" t="s">
        <v>8</v>
      </c>
      <c r="F11" s="10"/>
      <c r="G11" s="10"/>
      <c r="H11" s="10"/>
      <c r="I11" s="11"/>
      <c r="J11" s="8" t="s">
        <v>18</v>
      </c>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1"/>
    </row>
    <row r="12" ht="15.0" customHeight="1">
      <c r="A12" s="18" t="s">
        <v>12</v>
      </c>
      <c r="B12" s="10"/>
      <c r="C12" s="10"/>
      <c r="D12" s="25">
        <v>120.0</v>
      </c>
      <c r="E12" s="18" t="s">
        <v>20</v>
      </c>
      <c r="F12" s="10"/>
      <c r="G12" s="10"/>
      <c r="H12" s="10"/>
      <c r="I12" s="27">
        <f>+(((D$15*D$16)+4*((($D$16+$D$18)/2)*(($D$15+$D$17)/2))+(D$17*D$18))/6)*D$14</f>
        <v>14991.66667</v>
      </c>
      <c r="J12" s="28" t="s">
        <v>22</v>
      </c>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1"/>
    </row>
    <row r="13" ht="15.0" customHeight="1">
      <c r="A13" s="18" t="s">
        <v>21</v>
      </c>
      <c r="B13" s="10"/>
      <c r="C13" s="10"/>
      <c r="D13" s="25">
        <v>48.0</v>
      </c>
      <c r="E13" s="18"/>
      <c r="F13" s="10"/>
      <c r="G13" s="10"/>
      <c r="H13" s="10"/>
      <c r="I13" s="27"/>
      <c r="J13" s="32"/>
      <c r="K13" s="34"/>
      <c r="L13" s="35"/>
      <c r="M13" s="36"/>
      <c r="N13" s="37"/>
      <c r="O13" s="35"/>
      <c r="P13" s="36"/>
      <c r="Q13" s="37"/>
      <c r="R13" s="35"/>
      <c r="S13" s="36"/>
      <c r="T13" s="37"/>
      <c r="U13" s="35"/>
      <c r="V13" s="36"/>
      <c r="W13" s="37"/>
      <c r="X13" s="39"/>
      <c r="Y13" s="37"/>
      <c r="Z13" s="37"/>
      <c r="AA13" s="35"/>
      <c r="AB13" s="36"/>
      <c r="AC13" s="37"/>
      <c r="AD13" s="35"/>
      <c r="AE13" s="37"/>
      <c r="AF13" s="37"/>
      <c r="AG13" s="35"/>
      <c r="AH13" s="36"/>
      <c r="AI13" s="37"/>
      <c r="AJ13" s="39"/>
      <c r="AK13" s="36"/>
      <c r="AL13" s="37"/>
      <c r="AM13" s="35"/>
      <c r="AN13" s="36"/>
      <c r="AO13" s="37"/>
      <c r="AP13" s="35"/>
      <c r="AQ13" s="37"/>
      <c r="AR13" s="37"/>
      <c r="AS13" s="35"/>
      <c r="AT13" s="36"/>
      <c r="AU13" s="37"/>
      <c r="AV13" s="39"/>
      <c r="AW13" s="36"/>
      <c r="AX13" s="37"/>
      <c r="AY13" s="35"/>
      <c r="AZ13" s="36"/>
      <c r="BA13" s="37"/>
      <c r="BB13" s="35"/>
      <c r="BC13" s="36"/>
      <c r="BD13" s="37"/>
      <c r="BE13" s="35"/>
    </row>
    <row r="14" ht="15.0" customHeight="1">
      <c r="A14" s="18" t="s">
        <v>23</v>
      </c>
      <c r="B14" s="10"/>
      <c r="C14" s="10"/>
      <c r="D14" s="25">
        <v>3.5</v>
      </c>
      <c r="E14" s="18" t="s">
        <v>24</v>
      </c>
      <c r="F14" s="10"/>
      <c r="G14" s="10"/>
      <c r="H14" s="10"/>
      <c r="I14" s="48">
        <f>+I12*7.48</f>
        <v>112137.6667</v>
      </c>
      <c r="J14" s="50" t="s">
        <v>32</v>
      </c>
      <c r="K14" s="30"/>
      <c r="L14" s="51"/>
      <c r="M14" s="50" t="s">
        <v>35</v>
      </c>
      <c r="N14" s="30"/>
      <c r="O14" s="51"/>
      <c r="P14" s="50" t="s">
        <v>36</v>
      </c>
      <c r="Q14" s="30"/>
      <c r="R14" s="51"/>
      <c r="S14" s="50" t="s">
        <v>37</v>
      </c>
      <c r="T14" s="30"/>
      <c r="U14" s="51"/>
      <c r="V14" s="50" t="s">
        <v>38</v>
      </c>
      <c r="W14" s="30"/>
      <c r="X14" s="52"/>
      <c r="Y14" s="53" t="s">
        <v>39</v>
      </c>
      <c r="Z14" s="30"/>
      <c r="AA14" s="51"/>
      <c r="AB14" s="50" t="s">
        <v>42</v>
      </c>
      <c r="AC14" s="30"/>
      <c r="AD14" s="51"/>
      <c r="AE14" s="53" t="s">
        <v>43</v>
      </c>
      <c r="AF14" s="30"/>
      <c r="AG14" s="51"/>
      <c r="AH14" s="50" t="s">
        <v>44</v>
      </c>
      <c r="AI14" s="30"/>
      <c r="AJ14" s="52"/>
      <c r="AK14" s="50" t="s">
        <v>47</v>
      </c>
      <c r="AL14" s="30"/>
      <c r="AM14" s="51"/>
      <c r="AN14" s="50" t="s">
        <v>48</v>
      </c>
      <c r="AO14" s="30"/>
      <c r="AP14" s="51"/>
      <c r="AQ14" s="53" t="s">
        <v>49</v>
      </c>
      <c r="AR14" s="30"/>
      <c r="AS14" s="51"/>
      <c r="AT14" s="50" t="s">
        <v>50</v>
      </c>
      <c r="AU14" s="30"/>
      <c r="AV14" s="52"/>
      <c r="AW14" s="50" t="s">
        <v>52</v>
      </c>
      <c r="AX14" s="30"/>
      <c r="AY14" s="51"/>
      <c r="AZ14" s="50" t="s">
        <v>54</v>
      </c>
      <c r="BA14" s="30"/>
      <c r="BB14" s="51"/>
      <c r="BC14" s="50" t="s">
        <v>55</v>
      </c>
      <c r="BD14" s="30"/>
      <c r="BE14" s="51"/>
    </row>
    <row r="15" ht="15.0" customHeight="1">
      <c r="A15" s="18" t="s">
        <v>25</v>
      </c>
      <c r="B15" s="10"/>
      <c r="C15" s="10"/>
      <c r="D15" s="25">
        <v>100.0</v>
      </c>
      <c r="E15" s="33" t="s">
        <v>57</v>
      </c>
      <c r="I15" s="59">
        <v>20.0</v>
      </c>
      <c r="J15" s="60"/>
      <c r="L15" s="41"/>
      <c r="M15" s="60"/>
      <c r="O15" s="41"/>
      <c r="P15" s="60"/>
      <c r="R15" s="41"/>
      <c r="S15" s="60"/>
      <c r="U15" s="41"/>
      <c r="V15" s="60"/>
      <c r="X15" s="62"/>
      <c r="AA15" s="41"/>
      <c r="AB15" s="60"/>
      <c r="AD15" s="41"/>
      <c r="AG15" s="41"/>
      <c r="AH15" s="60"/>
      <c r="AJ15" s="62"/>
      <c r="AK15" s="60"/>
      <c r="AM15" s="41"/>
      <c r="AN15" s="60"/>
      <c r="AP15" s="41"/>
      <c r="AS15" s="41"/>
      <c r="AT15" s="60"/>
      <c r="AV15" s="62"/>
      <c r="AW15" s="60"/>
      <c r="AY15" s="41"/>
      <c r="AZ15" s="60"/>
      <c r="BB15" s="41"/>
      <c r="BC15" s="60"/>
      <c r="BE15" s="41"/>
    </row>
    <row r="16" ht="15.0" customHeight="1">
      <c r="A16" s="18" t="s">
        <v>26</v>
      </c>
      <c r="B16" s="10"/>
      <c r="C16" s="10"/>
      <c r="D16" s="25">
        <v>50.0</v>
      </c>
      <c r="E16" s="64" t="s">
        <v>58</v>
      </c>
      <c r="F16" s="43"/>
      <c r="G16" s="43"/>
      <c r="H16" s="43"/>
      <c r="I16" s="66">
        <f>+D14*12/I15</f>
        <v>2.1</v>
      </c>
      <c r="J16" s="68" t="s">
        <v>60</v>
      </c>
      <c r="L16" s="41"/>
      <c r="M16" s="68" t="s">
        <v>60</v>
      </c>
      <c r="O16" s="41"/>
      <c r="P16" s="68" t="s">
        <v>60</v>
      </c>
      <c r="R16" s="41"/>
      <c r="S16" s="68" t="s">
        <v>60</v>
      </c>
      <c r="U16" s="41"/>
      <c r="V16" s="68" t="s">
        <v>60</v>
      </c>
      <c r="X16" s="62"/>
      <c r="Y16" s="69" t="s">
        <v>60</v>
      </c>
      <c r="AA16" s="41"/>
      <c r="AB16" s="68" t="s">
        <v>60</v>
      </c>
      <c r="AD16" s="41"/>
      <c r="AE16" s="69" t="s">
        <v>60</v>
      </c>
      <c r="AG16" s="41"/>
      <c r="AH16" s="68" t="s">
        <v>60</v>
      </c>
      <c r="AJ16" s="62"/>
      <c r="AK16" s="68" t="s">
        <v>60</v>
      </c>
      <c r="AM16" s="41"/>
      <c r="AN16" s="68" t="s">
        <v>60</v>
      </c>
      <c r="AP16" s="41"/>
      <c r="AQ16" s="69" t="s">
        <v>60</v>
      </c>
      <c r="AS16" s="41"/>
      <c r="AT16" s="68" t="s">
        <v>60</v>
      </c>
      <c r="AV16" s="62"/>
      <c r="AW16" s="68" t="s">
        <v>60</v>
      </c>
      <c r="AY16" s="41"/>
      <c r="AZ16" s="68" t="s">
        <v>60</v>
      </c>
      <c r="BB16" s="41"/>
      <c r="BC16" s="68" t="s">
        <v>60</v>
      </c>
      <c r="BE16" s="41"/>
    </row>
    <row r="17" ht="15.0" customHeight="1">
      <c r="A17" s="18" t="s">
        <v>27</v>
      </c>
      <c r="B17" s="10"/>
      <c r="C17" s="10"/>
      <c r="D17" s="25">
        <v>90.0</v>
      </c>
      <c r="E17" s="72" t="s">
        <v>63</v>
      </c>
      <c r="F17" s="30"/>
      <c r="G17" s="30"/>
      <c r="H17" s="30"/>
      <c r="I17" s="30"/>
      <c r="J17" s="74" t="s">
        <v>64</v>
      </c>
      <c r="L17" s="41"/>
      <c r="M17" s="74" t="s">
        <v>66</v>
      </c>
      <c r="O17" s="41"/>
      <c r="P17" s="74" t="s">
        <v>67</v>
      </c>
      <c r="R17" s="41"/>
      <c r="S17" s="74" t="s">
        <v>68</v>
      </c>
      <c r="U17" s="41"/>
      <c r="V17" s="74" t="s">
        <v>69</v>
      </c>
      <c r="X17" s="62"/>
      <c r="Y17" s="75" t="s">
        <v>71</v>
      </c>
      <c r="AA17" s="41"/>
      <c r="AB17" s="74" t="s">
        <v>72</v>
      </c>
      <c r="AD17" s="41"/>
      <c r="AE17" s="75" t="s">
        <v>73</v>
      </c>
      <c r="AG17" s="41"/>
      <c r="AH17" s="74" t="s">
        <v>74</v>
      </c>
      <c r="AJ17" s="62"/>
      <c r="AK17" s="74" t="s">
        <v>75</v>
      </c>
      <c r="AM17" s="41"/>
      <c r="AN17" s="74" t="s">
        <v>77</v>
      </c>
      <c r="AP17" s="41"/>
      <c r="AQ17" s="75" t="s">
        <v>78</v>
      </c>
      <c r="AS17" s="41"/>
      <c r="AT17" s="74" t="s">
        <v>79</v>
      </c>
      <c r="AV17" s="62"/>
      <c r="AW17" s="74" t="s">
        <v>80</v>
      </c>
      <c r="AY17" s="41"/>
      <c r="AZ17" s="74" t="s">
        <v>81</v>
      </c>
      <c r="BB17" s="41"/>
      <c r="BC17" s="74" t="s">
        <v>82</v>
      </c>
      <c r="BE17" s="41"/>
    </row>
    <row r="18" ht="15.0" customHeight="1">
      <c r="A18" s="18" t="s">
        <v>28</v>
      </c>
      <c r="B18" s="10"/>
      <c r="C18" s="10"/>
      <c r="D18" s="25">
        <v>40.0</v>
      </c>
      <c r="E18" s="42"/>
      <c r="F18" s="43"/>
      <c r="G18" s="43"/>
      <c r="H18" s="43"/>
      <c r="I18" s="43"/>
      <c r="J18" s="42"/>
      <c r="K18" s="43"/>
      <c r="L18" s="44"/>
      <c r="M18" s="42"/>
      <c r="N18" s="43"/>
      <c r="O18" s="44"/>
      <c r="P18" s="42"/>
      <c r="Q18" s="43"/>
      <c r="R18" s="44"/>
      <c r="S18" s="42"/>
      <c r="T18" s="43"/>
      <c r="U18" s="44"/>
      <c r="V18" s="42"/>
      <c r="W18" s="43"/>
      <c r="X18" s="77"/>
      <c r="Y18" s="43"/>
      <c r="Z18" s="43"/>
      <c r="AA18" s="44"/>
      <c r="AB18" s="42"/>
      <c r="AC18" s="43"/>
      <c r="AD18" s="44"/>
      <c r="AE18" s="43"/>
      <c r="AF18" s="43"/>
      <c r="AG18" s="44"/>
      <c r="AH18" s="42"/>
      <c r="AI18" s="43"/>
      <c r="AJ18" s="77"/>
      <c r="AK18" s="42"/>
      <c r="AL18" s="43"/>
      <c r="AM18" s="44"/>
      <c r="AN18" s="42"/>
      <c r="AO18" s="43"/>
      <c r="AP18" s="44"/>
      <c r="AQ18" s="43"/>
      <c r="AR18" s="43"/>
      <c r="AS18" s="44"/>
      <c r="AT18" s="42"/>
      <c r="AU18" s="43"/>
      <c r="AV18" s="77"/>
      <c r="AW18" s="42"/>
      <c r="AX18" s="43"/>
      <c r="AY18" s="44"/>
      <c r="AZ18" s="42"/>
      <c r="BA18" s="43"/>
      <c r="BB18" s="44"/>
      <c r="BC18" s="42"/>
      <c r="BD18" s="43"/>
      <c r="BE18" s="44"/>
    </row>
    <row r="19" ht="76.5" customHeight="1">
      <c r="A19" s="78" t="s">
        <v>84</v>
      </c>
      <c r="B19" s="78" t="s">
        <v>85</v>
      </c>
      <c r="C19" s="78" t="s">
        <v>86</v>
      </c>
      <c r="D19" s="78" t="s">
        <v>87</v>
      </c>
      <c r="E19" s="78" t="s">
        <v>88</v>
      </c>
      <c r="F19" s="78" t="s">
        <v>89</v>
      </c>
      <c r="G19" s="78" t="s">
        <v>90</v>
      </c>
      <c r="H19" s="78" t="s">
        <v>91</v>
      </c>
      <c r="I19" s="78" t="s">
        <v>92</v>
      </c>
      <c r="J19" s="78" t="s">
        <v>93</v>
      </c>
      <c r="K19" s="78" t="s">
        <v>94</v>
      </c>
      <c r="L19" s="78" t="s">
        <v>95</v>
      </c>
      <c r="M19" s="78" t="s">
        <v>93</v>
      </c>
      <c r="N19" s="78" t="s">
        <v>94</v>
      </c>
      <c r="O19" s="78" t="s">
        <v>95</v>
      </c>
      <c r="P19" s="78" t="s">
        <v>93</v>
      </c>
      <c r="Q19" s="78" t="s">
        <v>94</v>
      </c>
      <c r="R19" s="78" t="s">
        <v>95</v>
      </c>
      <c r="S19" s="78" t="s">
        <v>93</v>
      </c>
      <c r="T19" s="78" t="s">
        <v>94</v>
      </c>
      <c r="U19" s="78" t="s">
        <v>95</v>
      </c>
      <c r="V19" s="78" t="s">
        <v>93</v>
      </c>
      <c r="W19" s="78" t="s">
        <v>94</v>
      </c>
      <c r="X19" s="80" t="s">
        <v>95</v>
      </c>
      <c r="Y19" s="81" t="s">
        <v>93</v>
      </c>
      <c r="Z19" s="78" t="s">
        <v>94</v>
      </c>
      <c r="AA19" s="78" t="s">
        <v>95</v>
      </c>
      <c r="AB19" s="78" t="s">
        <v>93</v>
      </c>
      <c r="AC19" s="78" t="s">
        <v>94</v>
      </c>
      <c r="AD19" s="78" t="s">
        <v>95</v>
      </c>
      <c r="AE19" s="81" t="s">
        <v>93</v>
      </c>
      <c r="AF19" s="78" t="s">
        <v>94</v>
      </c>
      <c r="AG19" s="78" t="s">
        <v>95</v>
      </c>
      <c r="AH19" s="78" t="s">
        <v>93</v>
      </c>
      <c r="AI19" s="78" t="s">
        <v>94</v>
      </c>
      <c r="AJ19" s="80" t="s">
        <v>95</v>
      </c>
      <c r="AK19" s="78" t="s">
        <v>93</v>
      </c>
      <c r="AL19" s="78" t="s">
        <v>94</v>
      </c>
      <c r="AM19" s="78" t="s">
        <v>95</v>
      </c>
      <c r="AN19" s="78" t="s">
        <v>93</v>
      </c>
      <c r="AO19" s="78" t="s">
        <v>94</v>
      </c>
      <c r="AP19" s="78" t="s">
        <v>95</v>
      </c>
      <c r="AQ19" s="81" t="s">
        <v>93</v>
      </c>
      <c r="AR19" s="78" t="s">
        <v>94</v>
      </c>
      <c r="AS19" s="78" t="s">
        <v>95</v>
      </c>
      <c r="AT19" s="78" t="s">
        <v>93</v>
      </c>
      <c r="AU19" s="78" t="s">
        <v>94</v>
      </c>
      <c r="AV19" s="80" t="s">
        <v>95</v>
      </c>
      <c r="AW19" s="78" t="s">
        <v>93</v>
      </c>
      <c r="AX19" s="78" t="s">
        <v>94</v>
      </c>
      <c r="AY19" s="78" t="s">
        <v>95</v>
      </c>
      <c r="AZ19" s="78" t="s">
        <v>93</v>
      </c>
      <c r="BA19" s="78" t="s">
        <v>94</v>
      </c>
      <c r="BB19" s="78" t="s">
        <v>95</v>
      </c>
      <c r="BC19" s="78" t="s">
        <v>93</v>
      </c>
      <c r="BD19" s="78" t="s">
        <v>94</v>
      </c>
      <c r="BE19" s="78" t="s">
        <v>95</v>
      </c>
    </row>
    <row r="20" ht="15.0" customHeight="1">
      <c r="A20" s="82">
        <f>+D14*12</f>
        <v>42</v>
      </c>
      <c r="B20" s="82"/>
      <c r="C20" s="82"/>
      <c r="D20" s="82">
        <f>+D15</f>
        <v>100</v>
      </c>
      <c r="E20" s="82">
        <f>+D16</f>
        <v>50</v>
      </c>
      <c r="F20" s="84"/>
      <c r="G20" s="84"/>
      <c r="H20" s="84"/>
      <c r="I20" s="84"/>
      <c r="J20" s="84"/>
      <c r="K20" s="84"/>
      <c r="L20" s="84"/>
      <c r="M20" s="84"/>
      <c r="N20" s="84"/>
      <c r="O20" s="84"/>
      <c r="P20" s="84"/>
      <c r="Q20" s="84"/>
      <c r="R20" s="84"/>
      <c r="S20" s="84"/>
      <c r="T20" s="84"/>
      <c r="U20" s="84"/>
      <c r="V20" s="84"/>
      <c r="W20" s="84"/>
      <c r="X20" s="85"/>
      <c r="Y20" s="86"/>
      <c r="Z20" s="84"/>
      <c r="AA20" s="84"/>
      <c r="AB20" s="84"/>
      <c r="AC20" s="84"/>
      <c r="AD20" s="84"/>
      <c r="AE20" s="86"/>
      <c r="AF20" s="84"/>
      <c r="AG20" s="84"/>
      <c r="AH20" s="84"/>
      <c r="AI20" s="84"/>
      <c r="AJ20" s="85"/>
      <c r="AK20" s="84"/>
      <c r="AL20" s="84"/>
      <c r="AM20" s="84"/>
      <c r="AN20" s="84"/>
      <c r="AO20" s="84"/>
      <c r="AP20" s="84"/>
      <c r="AQ20" s="86"/>
      <c r="AR20" s="84"/>
      <c r="AS20" s="84"/>
      <c r="AT20" s="84"/>
      <c r="AU20" s="84"/>
      <c r="AV20" s="85"/>
      <c r="AW20" s="84"/>
      <c r="AX20" s="84"/>
      <c r="AY20" s="84"/>
      <c r="AZ20" s="84"/>
      <c r="BA20" s="84"/>
      <c r="BB20" s="84"/>
      <c r="BC20" s="84"/>
      <c r="BD20" s="84"/>
      <c r="BE20" s="84"/>
    </row>
    <row r="21" ht="15.0" customHeight="1">
      <c r="A21" s="82">
        <f t="shared" ref="A21:A40" si="1">+IF(A20-C21&gt;0,A20-C21,0)</f>
        <v>39.9</v>
      </c>
      <c r="B21" s="82">
        <f t="shared" ref="B21:B40" si="2">+(A20+A21)/2</f>
        <v>40.95</v>
      </c>
      <c r="C21" s="82">
        <f t="shared" ref="C21:C40" si="3">+IF(A20&gt;0,$I$16,0)</f>
        <v>2.1</v>
      </c>
      <c r="D21" s="84">
        <f t="shared" ref="D21:D40" si="4">+D20-(2*(($D$15-$D$17)/(2*$D$14))*(C21/12))</f>
        <v>99.5</v>
      </c>
      <c r="E21" s="84">
        <f t="shared" ref="E21:E40" si="5">+E20-(2*(($D$16-$D$18)/(2*$D$14))*(C21/12))</f>
        <v>49.5</v>
      </c>
      <c r="F21" s="84">
        <f t="shared" ref="F21:F40" si="6">+IF(B21&gt;0,+(((D20*E20)+4*(((D20+D21)/2)*((E20+E21)/2))+(D21*E21))/6)*(C21/12),0)</f>
        <v>868.4520833</v>
      </c>
      <c r="G21" s="87">
        <f t="shared" ref="G21:G40" si="7">+G20+F21</f>
        <v>868.4520833</v>
      </c>
      <c r="H21" s="87">
        <f t="shared" ref="H21:H40" si="8">+G21*7.48</f>
        <v>6496.021583</v>
      </c>
      <c r="I21" s="88">
        <f t="shared" ref="I21:I40" si="9">+($I$14-($I$14-H21))/$I$14</f>
        <v>0.05792898833</v>
      </c>
      <c r="J21" s="84">
        <f t="shared" ref="J21:J40" si="10">+(1.6425*POWER(B21/12,0.0636))</f>
        <v>1.775860304</v>
      </c>
      <c r="K21" s="89">
        <f t="shared" ref="K21:K40" si="11">+J21*0.1337/60</f>
        <v>0.00395720871</v>
      </c>
      <c r="L21" s="84">
        <f>+H21/(1.6425*POWER(B21/12,0.0636))/60</f>
        <v>60.96595896</v>
      </c>
      <c r="M21" s="84">
        <f t="shared" ref="M21:M40" si="12">+(6.4078*POWER(B21/12,0.0312))</f>
        <v>6.657954381</v>
      </c>
      <c r="N21" s="89">
        <f t="shared" ref="N21:N40" si="13">+M21*0.1337/60</f>
        <v>0.01483614168</v>
      </c>
      <c r="O21" s="84">
        <f>+H21/(6.4078*POWER(B21/12,0.0312))/60</f>
        <v>16.26130493</v>
      </c>
      <c r="P21" s="84">
        <f t="shared" ref="P21:P40" si="14">+(7.5459*POWER(B21/12,0.0748))</f>
        <v>8.27151155</v>
      </c>
      <c r="Q21" s="89">
        <f t="shared" ref="Q21:Q40" si="15">+P21*0.1337/60</f>
        <v>0.0184316849</v>
      </c>
      <c r="R21" s="84">
        <f>+H21/(7.5459*POWER(B21/12,0.0748))/60</f>
        <v>13.08914649</v>
      </c>
      <c r="S21" s="84">
        <f t="shared" ref="S21:S40" si="16">+(14.221*POWER(B21/12,0.0401))</f>
        <v>14.93847794</v>
      </c>
      <c r="T21" s="89">
        <f t="shared" ref="T21:T40" si="17">+S21*0.1337/60</f>
        <v>0.03328790834</v>
      </c>
      <c r="U21" s="84">
        <f>+H21/(14.221*POWER(B21/12,0.0401))/60</f>
        <v>7.24752728</v>
      </c>
      <c r="V21" s="84">
        <f t="shared" ref="V21:V40" si="18">+(22.133*POWER(B21/12,0.1378))</f>
        <v>26.21185136</v>
      </c>
      <c r="W21" s="89">
        <f t="shared" ref="W21:W40" si="19">+V21*0.1337/60</f>
        <v>0.05840874212</v>
      </c>
      <c r="X21" s="85">
        <f>+H21/(22.133*POWER(B21/12,0.1378))/60</f>
        <v>4.13046087</v>
      </c>
      <c r="Y21" s="86">
        <f t="shared" ref="Y21:Y40" si="20">+(16.127*POWER(B21/12,0.0897))</f>
        <v>18.00404972</v>
      </c>
      <c r="Z21" s="89">
        <f t="shared" ref="Z21:Z40" si="21">+Y21*0.1337/60</f>
        <v>0.04011902412</v>
      </c>
      <c r="AA21" s="84">
        <f>+H21/(16.127*POWER(B21/12,0.0897))/60</f>
        <v>6.01348186</v>
      </c>
      <c r="AB21" s="84">
        <f t="shared" ref="AB21:AB40" si="22">+(29.588*POWER(B21/12,0.0625))</f>
        <v>31.94718902</v>
      </c>
      <c r="AC21" s="89">
        <f t="shared" ref="AC21:AC40" si="23">+AB21*0.1337/60</f>
        <v>0.07118898619</v>
      </c>
      <c r="AD21" s="84">
        <f>+H21/(29.588*POWER(B21/12,0.0625))/60</f>
        <v>3.388937485</v>
      </c>
      <c r="AE21" s="86">
        <f t="shared" ref="AE21:AE40" si="24">+(32.06*POWER(B21/12,0.1537))</f>
        <v>38.71656205</v>
      </c>
      <c r="AF21" s="89">
        <f t="shared" ref="AF21:AF40" si="25">+AE21*0.1337/60</f>
        <v>0.08627340576</v>
      </c>
      <c r="AG21" s="84">
        <f>+H21/(32.06*POWER(B21/12,0.1537))/60</f>
        <v>2.796400834</v>
      </c>
      <c r="AH21" s="84">
        <f t="shared" ref="AH21:AH40" si="26">+(60.386*POWER(B21/12,0.12))</f>
        <v>69.96888962</v>
      </c>
      <c r="AI21" s="89">
        <f t="shared" ref="AI21:AI40" si="27">+AH21*0.1337/60</f>
        <v>0.155914009</v>
      </c>
      <c r="AJ21" s="85">
        <f>+H21/(60.386*POWER(B21/12,0.12))/60</f>
        <v>1.547359505</v>
      </c>
      <c r="AK21" s="84">
        <f t="shared" ref="AK21:AK40" si="28">+(32.786*POWER(B21/12,0.0463))</f>
        <v>34.70321403</v>
      </c>
      <c r="AL21" s="89">
        <f t="shared" ref="AL21:AL40" si="29">+AK21*0.1337/60</f>
        <v>0.07733032859</v>
      </c>
      <c r="AM21" s="84">
        <f>+H21/(32.06*POWER(B21/12,0.0783))/60</f>
        <v>3.06756025</v>
      </c>
      <c r="AN21" s="84">
        <f t="shared" ref="AN21:AN40" si="30">+(48.885*POWER(B21/12,0.0519))</f>
        <v>52.10052392</v>
      </c>
      <c r="AO21" s="89">
        <f t="shared" ref="AO21:AO40" si="31">+AN21*0.1337/60</f>
        <v>0.1160973341</v>
      </c>
      <c r="AP21" s="84">
        <f>+H21/(51.448*POWER(B21/12,0.0893))/60</f>
        <v>1.885924592</v>
      </c>
      <c r="AQ21" s="86">
        <f t="shared" ref="AQ21:AQ40" si="32">+(72.011*POWER(B21/12,0.0744))</f>
        <v>78.89681071</v>
      </c>
      <c r="AR21" s="89">
        <f t="shared" ref="AR21:AR40" si="33">+AQ21*0.1337/60</f>
        <v>0.1758083932</v>
      </c>
      <c r="AS21" s="84">
        <f>+H21/(75.674*POWER(B21/12,0.0519))/60</f>
        <v>1.342403411</v>
      </c>
      <c r="AT21" s="84">
        <f t="shared" ref="AT21:AT40" si="34">+(141.13*POWER(B21/12,0.1432))</f>
        <v>168.250106</v>
      </c>
      <c r="AU21" s="89">
        <f t="shared" ref="AU21:AU40" si="35">+AT21*0.1337/60</f>
        <v>0.3749173195</v>
      </c>
      <c r="AV21" s="85">
        <f>+H21/(88.983*POWER(B21/12,0.1573))/60</f>
        <v>1.003082921</v>
      </c>
      <c r="AW21" s="84">
        <f t="shared" ref="AW21:AW40" si="36">+(186.48*POWER(B21/12,0.4401))</f>
        <v>320.064523</v>
      </c>
      <c r="AX21" s="89">
        <f t="shared" ref="AX21:AX40" si="37">+AW21*0.1337/60</f>
        <v>0.7132104454</v>
      </c>
      <c r="AY21" s="84">
        <f>+H21/(186.48*POWER(B21/12,0.4401))/60</f>
        <v>0.3382662514</v>
      </c>
      <c r="AZ21" s="84">
        <f t="shared" ref="AZ21:AZ40" si="38">+(248.96*POWER(B21/12,0.2857))</f>
        <v>353.5317592</v>
      </c>
      <c r="BA21" s="89">
        <f t="shared" ref="BA21:BA40" si="39">+AZ21*0.1337/60</f>
        <v>0.7877866033</v>
      </c>
      <c r="BB21" s="84">
        <f>+B21/(248.96*POWER(B21/12,0.2857))/60</f>
        <v>0.001930519627</v>
      </c>
      <c r="BC21" s="84">
        <f t="shared" ref="BC21:BC40" si="40">+(289.04*POWER(B21/12,0.2282))</f>
        <v>382.4768285</v>
      </c>
      <c r="BD21" s="89">
        <f t="shared" ref="BD21:BD40" si="41">+BC21*0.1337/60</f>
        <v>0.8522858663</v>
      </c>
      <c r="BE21" s="84">
        <f>+H21/(289.04*POWER(B21/12,0.2282))/60</f>
        <v>0.2830681974</v>
      </c>
    </row>
    <row r="22" ht="15.0" customHeight="1">
      <c r="A22" s="82">
        <f t="shared" si="1"/>
        <v>37.8</v>
      </c>
      <c r="B22" s="82">
        <f t="shared" si="2"/>
        <v>38.85</v>
      </c>
      <c r="C22" s="82">
        <f t="shared" si="3"/>
        <v>2.1</v>
      </c>
      <c r="D22" s="84">
        <f t="shared" si="4"/>
        <v>99</v>
      </c>
      <c r="E22" s="84">
        <f t="shared" si="5"/>
        <v>49</v>
      </c>
      <c r="F22" s="84">
        <f t="shared" si="6"/>
        <v>855.4145833</v>
      </c>
      <c r="G22" s="87">
        <f t="shared" si="7"/>
        <v>1723.866667</v>
      </c>
      <c r="H22" s="87">
        <f t="shared" si="8"/>
        <v>12894.52267</v>
      </c>
      <c r="I22" s="88">
        <f t="shared" si="9"/>
        <v>0.1149883268</v>
      </c>
      <c r="J22" s="84">
        <f t="shared" si="10"/>
        <v>1.769924415</v>
      </c>
      <c r="K22" s="89">
        <f t="shared" si="11"/>
        <v>0.003943981571</v>
      </c>
      <c r="L22" s="84">
        <f t="shared" ref="L22:L40" si="42">+(H22-H21)/(1.6425*POWER(B22/12,0.0636))/60+L21</f>
        <v>121.2180713</v>
      </c>
      <c r="M22" s="84">
        <f t="shared" si="12"/>
        <v>6.64702777</v>
      </c>
      <c r="N22" s="89">
        <f t="shared" si="13"/>
        <v>0.01481179355</v>
      </c>
      <c r="O22" s="84">
        <f t="shared" ref="O22:O40" si="43">+(H22-H21)/(6.4078*POWER(B22/12,0.0312))/60+O21</f>
        <v>32.30481918</v>
      </c>
      <c r="P22" s="84">
        <f t="shared" si="14"/>
        <v>8.239004439</v>
      </c>
      <c r="Q22" s="89">
        <f t="shared" si="15"/>
        <v>0.01835924823</v>
      </c>
      <c r="R22" s="84">
        <f t="shared" ref="R22:R40" si="44">+(H22-H21)/(7.5459*POWER(B22/12,0.0748))/60+R21</f>
        <v>26.03266236</v>
      </c>
      <c r="S22" s="84">
        <f t="shared" si="16"/>
        <v>14.90697587</v>
      </c>
      <c r="T22" s="89">
        <f t="shared" si="17"/>
        <v>0.03321771123</v>
      </c>
      <c r="U22" s="84">
        <f t="shared" ref="U22:U40" si="45">+(H22-H21)/(14.221*POWER(B22/12,0.0401))/60+U21</f>
        <v>14.40133806</v>
      </c>
      <c r="V22" s="84">
        <f t="shared" si="18"/>
        <v>26.02239059</v>
      </c>
      <c r="W22" s="89">
        <f t="shared" si="19"/>
        <v>0.05798656037</v>
      </c>
      <c r="X22" s="85">
        <f t="shared" ref="X22:X40" si="46">+(H22-H21)/(22.133*POWER(B22/12,0.1378))/60+X21</f>
        <v>8.228534963</v>
      </c>
      <c r="Y22" s="86">
        <f t="shared" si="20"/>
        <v>17.91923244</v>
      </c>
      <c r="Z22" s="89">
        <f t="shared" si="21"/>
        <v>0.03993002295</v>
      </c>
      <c r="AA22" s="84">
        <f t="shared" ref="AA22:AA40" si="47">+(H22-H21)/(16.127*POWER(B22/12,0.0897))/60+AA21</f>
        <v>11.96472364</v>
      </c>
      <c r="AB22" s="84">
        <f t="shared" si="22"/>
        <v>31.84224805</v>
      </c>
      <c r="AC22" s="89">
        <f t="shared" si="23"/>
        <v>0.07095514273</v>
      </c>
      <c r="AD22" s="84">
        <f t="shared" ref="AD22:AD40" si="48">+(H22-H21)/(29.588*POWER(B22/12,0.0625))/60+AD21</f>
        <v>6.738000169</v>
      </c>
      <c r="AE22" s="86">
        <f t="shared" si="24"/>
        <v>38.40455708</v>
      </c>
      <c r="AF22" s="89">
        <f t="shared" si="25"/>
        <v>0.08557815469</v>
      </c>
      <c r="AG22" s="84">
        <f t="shared" ref="AG22:AG40" si="49">+(H22-H21)/(32.06*POWER(B22/12,0.1537))/60+AG21</f>
        <v>5.573198507</v>
      </c>
      <c r="AH22" s="84">
        <f t="shared" si="26"/>
        <v>69.528272</v>
      </c>
      <c r="AI22" s="89">
        <f t="shared" si="27"/>
        <v>0.1549321661</v>
      </c>
      <c r="AJ22" s="85">
        <f t="shared" ref="AJ22:AJ40" si="50">+(H22-H21)/(60.386*POWER(B22/12,0.12))/60+AJ21</f>
        <v>3.081148302</v>
      </c>
      <c r="AK22" s="84">
        <f t="shared" si="28"/>
        <v>34.61873125</v>
      </c>
      <c r="AL22" s="89">
        <f t="shared" si="29"/>
        <v>0.07714207279</v>
      </c>
      <c r="AM22" s="84">
        <f t="shared" ref="AM22:AM40" si="51">+(H22-H21)/(32.06*POWER(B22/12,0.0783))/60+AM21</f>
        <v>6.101549614</v>
      </c>
      <c r="AN22" s="84">
        <f t="shared" si="30"/>
        <v>51.95836865</v>
      </c>
      <c r="AO22" s="89">
        <f t="shared" si="31"/>
        <v>0.1157805648</v>
      </c>
      <c r="AP22" s="84">
        <f t="shared" ref="AP22:AP40" si="52">+(H22-H21)/(51.448*POWER(B22/12,0.0893))/60+AP21</f>
        <v>3.752290393</v>
      </c>
      <c r="AQ22" s="86">
        <f t="shared" si="32"/>
        <v>78.58840043</v>
      </c>
      <c r="AR22" s="89">
        <f t="shared" si="33"/>
        <v>0.1751211523</v>
      </c>
      <c r="AS22" s="84">
        <f t="shared" ref="AS22:AS40" si="53">+(H22-H21)/(75.674*POWER(B22/12,0.0519))/60+AS21</f>
        <v>2.668271809</v>
      </c>
      <c r="AT22" s="84">
        <f t="shared" si="34"/>
        <v>166.9865075</v>
      </c>
      <c r="AU22" s="89">
        <f t="shared" si="35"/>
        <v>0.3721016009</v>
      </c>
      <c r="AV22" s="85">
        <f t="shared" ref="AV22:AV40" si="54">+(H22-H21)/(88.983*POWER(B22/12,0.1573))/60+AV21</f>
        <v>1.999322877</v>
      </c>
      <c r="AW22" s="84">
        <f t="shared" si="36"/>
        <v>312.7343483</v>
      </c>
      <c r="AX22" s="89">
        <f t="shared" si="37"/>
        <v>0.6968763728</v>
      </c>
      <c r="AY22" s="84">
        <f t="shared" ref="AY22:AY40" si="55">+(H22-H21)/(186.48*POWER(B22/12,0.4401))/60+AY21</f>
        <v>0.6792639233</v>
      </c>
      <c r="AZ22" s="84">
        <f t="shared" si="38"/>
        <v>348.2543169</v>
      </c>
      <c r="BA22" s="89">
        <f t="shared" si="39"/>
        <v>0.7760267029</v>
      </c>
      <c r="BB22" s="84">
        <f t="shared" ref="BB22:BB40" si="56">+(H22-H21)/(248.96*POWER(B22/12,0.2857))/60+BB21</f>
        <v>0.3081483597</v>
      </c>
      <c r="BC22" s="84">
        <f t="shared" si="40"/>
        <v>377.9095089</v>
      </c>
      <c r="BD22" s="89">
        <f t="shared" si="41"/>
        <v>0.8421083556</v>
      </c>
      <c r="BE22" s="84">
        <f t="shared" ref="BE22:BE40" si="57">+(H22-H21)/(289.04*POWER(B22/12,0.2282))/60+BE21</f>
        <v>0.5652566108</v>
      </c>
    </row>
    <row r="23" ht="15.0" customHeight="1">
      <c r="A23" s="82">
        <f t="shared" si="1"/>
        <v>35.7</v>
      </c>
      <c r="B23" s="82">
        <f t="shared" si="2"/>
        <v>36.75</v>
      </c>
      <c r="C23" s="82">
        <f t="shared" si="3"/>
        <v>2.1</v>
      </c>
      <c r="D23" s="84">
        <f t="shared" si="4"/>
        <v>98.5</v>
      </c>
      <c r="E23" s="84">
        <f t="shared" si="5"/>
        <v>48.5</v>
      </c>
      <c r="F23" s="84">
        <f t="shared" si="6"/>
        <v>842.4645833</v>
      </c>
      <c r="G23" s="87">
        <f t="shared" si="7"/>
        <v>2566.33125</v>
      </c>
      <c r="H23" s="87">
        <f t="shared" si="8"/>
        <v>19196.15775</v>
      </c>
      <c r="I23" s="88">
        <f t="shared" si="9"/>
        <v>0.1711838521</v>
      </c>
      <c r="J23" s="84">
        <f t="shared" si="10"/>
        <v>1.763680114</v>
      </c>
      <c r="K23" s="89">
        <f t="shared" si="11"/>
        <v>0.003930067186</v>
      </c>
      <c r="L23" s="84">
        <f t="shared" si="42"/>
        <v>180.7681284</v>
      </c>
      <c r="M23" s="84">
        <f t="shared" si="12"/>
        <v>6.635513275</v>
      </c>
      <c r="N23" s="89">
        <f t="shared" si="13"/>
        <v>0.01478613541</v>
      </c>
      <c r="O23" s="84">
        <f t="shared" si="43"/>
        <v>48.13287151</v>
      </c>
      <c r="P23" s="84">
        <f t="shared" si="14"/>
        <v>8.204829065</v>
      </c>
      <c r="Q23" s="89">
        <f t="shared" si="15"/>
        <v>0.0182830941</v>
      </c>
      <c r="R23" s="84">
        <f t="shared" si="44"/>
        <v>38.83332531</v>
      </c>
      <c r="S23" s="84">
        <f t="shared" si="16"/>
        <v>14.87379488</v>
      </c>
      <c r="T23" s="89">
        <f t="shared" si="17"/>
        <v>0.03314377292</v>
      </c>
      <c r="U23" s="84">
        <f t="shared" si="45"/>
        <v>21.46256569</v>
      </c>
      <c r="V23" s="84">
        <f t="shared" si="18"/>
        <v>25.82388448</v>
      </c>
      <c r="W23" s="89">
        <f t="shared" si="19"/>
        <v>0.05754422258</v>
      </c>
      <c r="X23" s="85">
        <f t="shared" si="46"/>
        <v>12.29559356</v>
      </c>
      <c r="Y23" s="86">
        <f t="shared" si="20"/>
        <v>17.8301342</v>
      </c>
      <c r="Z23" s="89">
        <f t="shared" si="21"/>
        <v>0.03973148237</v>
      </c>
      <c r="AA23" s="84">
        <f t="shared" si="47"/>
        <v>17.85515891</v>
      </c>
      <c r="AB23" s="84">
        <f t="shared" si="22"/>
        <v>31.73184806</v>
      </c>
      <c r="AC23" s="89">
        <f t="shared" si="23"/>
        <v>0.07070913476</v>
      </c>
      <c r="AD23" s="84">
        <f t="shared" si="48"/>
        <v>10.04783738</v>
      </c>
      <c r="AE23" s="86">
        <f t="shared" si="24"/>
        <v>38.07793728</v>
      </c>
      <c r="AF23" s="89">
        <f t="shared" si="25"/>
        <v>0.08485033691</v>
      </c>
      <c r="AG23" s="84">
        <f t="shared" si="49"/>
        <v>8.33141649</v>
      </c>
      <c r="AH23" s="84">
        <f t="shared" si="26"/>
        <v>69.06617335</v>
      </c>
      <c r="AI23" s="89">
        <f t="shared" si="27"/>
        <v>0.1539024563</v>
      </c>
      <c r="AJ23" s="85">
        <f t="shared" si="50"/>
        <v>4.601824001</v>
      </c>
      <c r="AK23" s="84">
        <f t="shared" si="28"/>
        <v>34.52977575</v>
      </c>
      <c r="AL23" s="89">
        <f t="shared" si="29"/>
        <v>0.07694385029</v>
      </c>
      <c r="AM23" s="84">
        <f t="shared" si="51"/>
        <v>9.102637567</v>
      </c>
      <c r="AN23" s="84">
        <f t="shared" si="30"/>
        <v>51.80873269</v>
      </c>
      <c r="AO23" s="89">
        <f t="shared" si="31"/>
        <v>0.115447126</v>
      </c>
      <c r="AP23" s="84">
        <f t="shared" si="52"/>
        <v>5.599545636</v>
      </c>
      <c r="AQ23" s="86">
        <f t="shared" si="32"/>
        <v>78.26415553</v>
      </c>
      <c r="AR23" s="89">
        <f t="shared" si="33"/>
        <v>0.1743986266</v>
      </c>
      <c r="AS23" s="84">
        <f t="shared" si="53"/>
        <v>3.977839524</v>
      </c>
      <c r="AT23" s="84">
        <f t="shared" si="34"/>
        <v>165.6629683</v>
      </c>
      <c r="AU23" s="89">
        <f t="shared" si="35"/>
        <v>0.3691523144</v>
      </c>
      <c r="AV23" s="85">
        <f t="shared" si="54"/>
        <v>2.989094928</v>
      </c>
      <c r="AW23" s="84">
        <f t="shared" si="36"/>
        <v>305.178793</v>
      </c>
      <c r="AX23" s="89">
        <f t="shared" si="37"/>
        <v>0.680040077</v>
      </c>
      <c r="AY23" s="84">
        <f t="shared" si="55"/>
        <v>1.023413824</v>
      </c>
      <c r="AZ23" s="84">
        <f t="shared" si="38"/>
        <v>342.7689833</v>
      </c>
      <c r="BA23" s="89">
        <f t="shared" si="39"/>
        <v>0.7638035512</v>
      </c>
      <c r="BB23" s="84">
        <f t="shared" si="56"/>
        <v>0.6145566303</v>
      </c>
      <c r="BC23" s="84">
        <f t="shared" si="40"/>
        <v>373.1474808</v>
      </c>
      <c r="BD23" s="89">
        <f t="shared" si="41"/>
        <v>0.8314969698</v>
      </c>
      <c r="BE23" s="84">
        <f t="shared" si="57"/>
        <v>0.8467197233</v>
      </c>
    </row>
    <row r="24" ht="15.0" customHeight="1">
      <c r="A24" s="82">
        <f t="shared" si="1"/>
        <v>33.6</v>
      </c>
      <c r="B24" s="82">
        <f t="shared" si="2"/>
        <v>34.65</v>
      </c>
      <c r="C24" s="82">
        <f t="shared" si="3"/>
        <v>2.1</v>
      </c>
      <c r="D24" s="84">
        <f t="shared" si="4"/>
        <v>98</v>
      </c>
      <c r="E24" s="84">
        <f t="shared" si="5"/>
        <v>48</v>
      </c>
      <c r="F24" s="84">
        <f t="shared" si="6"/>
        <v>829.6020833</v>
      </c>
      <c r="G24" s="87">
        <f t="shared" si="7"/>
        <v>3395.933333</v>
      </c>
      <c r="H24" s="87">
        <f t="shared" si="8"/>
        <v>25401.58133</v>
      </c>
      <c r="I24" s="88">
        <f t="shared" si="9"/>
        <v>0.2265214008</v>
      </c>
      <c r="J24" s="84">
        <f t="shared" si="10"/>
        <v>1.757092306</v>
      </c>
      <c r="K24" s="89">
        <f t="shared" si="11"/>
        <v>0.003915387355</v>
      </c>
      <c r="L24" s="84">
        <f t="shared" si="42"/>
        <v>239.628853</v>
      </c>
      <c r="M24" s="84">
        <f t="shared" si="12"/>
        <v>6.623342818</v>
      </c>
      <c r="N24" s="89">
        <f t="shared" si="13"/>
        <v>0.01475901558</v>
      </c>
      <c r="O24" s="84">
        <f t="shared" si="43"/>
        <v>63.74790598</v>
      </c>
      <c r="P24" s="84">
        <f t="shared" si="14"/>
        <v>8.168796754</v>
      </c>
      <c r="Q24" s="89">
        <f t="shared" si="15"/>
        <v>0.0182028021</v>
      </c>
      <c r="R24" s="84">
        <f t="shared" si="44"/>
        <v>51.49415279</v>
      </c>
      <c r="S24" s="84">
        <f t="shared" si="16"/>
        <v>14.83874147</v>
      </c>
      <c r="T24" s="89">
        <f t="shared" si="17"/>
        <v>0.03306566224</v>
      </c>
      <c r="U24" s="84">
        <f t="shared" si="45"/>
        <v>28.43241058</v>
      </c>
      <c r="V24" s="84">
        <f t="shared" si="18"/>
        <v>25.6153453</v>
      </c>
      <c r="W24" s="89">
        <f t="shared" si="19"/>
        <v>0.05707952778</v>
      </c>
      <c r="X24" s="85">
        <f t="shared" si="46"/>
        <v>16.33316265</v>
      </c>
      <c r="Y24" s="86">
        <f t="shared" si="20"/>
        <v>17.73627479</v>
      </c>
      <c r="Z24" s="89">
        <f t="shared" si="21"/>
        <v>0.03952233232</v>
      </c>
      <c r="AA24" s="84">
        <f t="shared" si="47"/>
        <v>23.6863567</v>
      </c>
      <c r="AB24" s="84">
        <f t="shared" si="22"/>
        <v>31.61536751</v>
      </c>
      <c r="AC24" s="89">
        <f t="shared" si="23"/>
        <v>0.07044957727</v>
      </c>
      <c r="AD24" s="84">
        <f t="shared" si="48"/>
        <v>13.31914923</v>
      </c>
      <c r="AE24" s="86">
        <f t="shared" si="24"/>
        <v>37.73512112</v>
      </c>
      <c r="AF24" s="89">
        <f t="shared" si="25"/>
        <v>0.08408642823</v>
      </c>
      <c r="AG24" s="84">
        <f t="shared" si="49"/>
        <v>11.07219811</v>
      </c>
      <c r="AH24" s="84">
        <f t="shared" si="26"/>
        <v>68.5802244</v>
      </c>
      <c r="AI24" s="89">
        <f t="shared" si="27"/>
        <v>0.1528196</v>
      </c>
      <c r="AJ24" s="85">
        <f t="shared" si="50"/>
        <v>6.109893233</v>
      </c>
      <c r="AK24" s="84">
        <f t="shared" si="28"/>
        <v>34.43583378</v>
      </c>
      <c r="AL24" s="89">
        <f t="shared" si="29"/>
        <v>0.07673451627</v>
      </c>
      <c r="AM24" s="84">
        <f t="shared" si="51"/>
        <v>12.07155275</v>
      </c>
      <c r="AN24" s="84">
        <f t="shared" si="30"/>
        <v>51.65075938</v>
      </c>
      <c r="AO24" s="89">
        <f t="shared" si="31"/>
        <v>0.1150951088</v>
      </c>
      <c r="AP24" s="84">
        <f t="shared" si="52"/>
        <v>7.428180817</v>
      </c>
      <c r="AQ24" s="86">
        <f t="shared" si="32"/>
        <v>77.92228479</v>
      </c>
      <c r="AR24" s="89">
        <f t="shared" si="33"/>
        <v>0.1736368246</v>
      </c>
      <c r="AS24" s="84">
        <f t="shared" si="53"/>
        <v>5.271357295</v>
      </c>
      <c r="AT24" s="84">
        <f t="shared" si="34"/>
        <v>164.2729631</v>
      </c>
      <c r="AU24" s="89">
        <f t="shared" si="35"/>
        <v>0.3660549195</v>
      </c>
      <c r="AV24" s="85">
        <f t="shared" si="54"/>
        <v>3.972818387</v>
      </c>
      <c r="AW24" s="84">
        <f t="shared" si="36"/>
        <v>297.3774202</v>
      </c>
      <c r="AX24" s="89">
        <f t="shared" si="37"/>
        <v>0.6626560181</v>
      </c>
      <c r="AY24" s="84">
        <f t="shared" si="55"/>
        <v>1.371199901</v>
      </c>
      <c r="AZ24" s="84">
        <f t="shared" si="38"/>
        <v>337.0549493</v>
      </c>
      <c r="BA24" s="89">
        <f t="shared" si="39"/>
        <v>0.7510707787</v>
      </c>
      <c r="BB24" s="84">
        <f t="shared" si="56"/>
        <v>0.9214019284</v>
      </c>
      <c r="BC24" s="84">
        <f t="shared" si="40"/>
        <v>368.1705678</v>
      </c>
      <c r="BD24" s="89">
        <f t="shared" si="41"/>
        <v>0.8204067487</v>
      </c>
      <c r="BE24" s="84">
        <f t="shared" si="57"/>
        <v>1.127632255</v>
      </c>
    </row>
    <row r="25" ht="15.0" customHeight="1">
      <c r="A25" s="82">
        <f t="shared" si="1"/>
        <v>31.5</v>
      </c>
      <c r="B25" s="82">
        <f t="shared" si="2"/>
        <v>32.55</v>
      </c>
      <c r="C25" s="82">
        <f t="shared" si="3"/>
        <v>2.1</v>
      </c>
      <c r="D25" s="84">
        <f t="shared" si="4"/>
        <v>97.5</v>
      </c>
      <c r="E25" s="84">
        <f t="shared" si="5"/>
        <v>47.5</v>
      </c>
      <c r="F25" s="84">
        <f t="shared" si="6"/>
        <v>816.8270833</v>
      </c>
      <c r="G25" s="87">
        <f t="shared" si="7"/>
        <v>4212.760417</v>
      </c>
      <c r="H25" s="87">
        <f t="shared" si="8"/>
        <v>31511.44792</v>
      </c>
      <c r="I25" s="88">
        <f t="shared" si="9"/>
        <v>0.2810068093</v>
      </c>
      <c r="J25" s="84">
        <f t="shared" si="10"/>
        <v>1.750119461</v>
      </c>
      <c r="K25" s="89">
        <f t="shared" si="11"/>
        <v>0.003899849533</v>
      </c>
      <c r="L25" s="84">
        <f t="shared" si="42"/>
        <v>297.8140867</v>
      </c>
      <c r="M25" s="84">
        <f t="shared" si="12"/>
        <v>6.610435685</v>
      </c>
      <c r="N25" s="89">
        <f t="shared" si="13"/>
        <v>0.01473025419</v>
      </c>
      <c r="O25" s="84">
        <f t="shared" si="43"/>
        <v>79.1525048</v>
      </c>
      <c r="P25" s="84">
        <f t="shared" si="14"/>
        <v>8.130684377</v>
      </c>
      <c r="Q25" s="89">
        <f t="shared" si="15"/>
        <v>0.01811787502</v>
      </c>
      <c r="R25" s="84">
        <f t="shared" si="44"/>
        <v>64.01845025</v>
      </c>
      <c r="S25" s="84">
        <f t="shared" si="16"/>
        <v>14.80158636</v>
      </c>
      <c r="T25" s="89">
        <f t="shared" si="17"/>
        <v>0.03298286826</v>
      </c>
      <c r="U25" s="84">
        <f t="shared" si="45"/>
        <v>35.31215356</v>
      </c>
      <c r="V25" s="84">
        <f t="shared" si="18"/>
        <v>25.39560919</v>
      </c>
      <c r="W25" s="89">
        <f t="shared" si="19"/>
        <v>0.05658988248</v>
      </c>
      <c r="X25" s="85">
        <f t="shared" si="46"/>
        <v>20.34295462</v>
      </c>
      <c r="Y25" s="86">
        <f t="shared" si="20"/>
        <v>17.6370868</v>
      </c>
      <c r="Z25" s="89">
        <f t="shared" si="21"/>
        <v>0.03930130842</v>
      </c>
      <c r="AA25" s="84">
        <f t="shared" si="47"/>
        <v>29.46004886</v>
      </c>
      <c r="AB25" s="84">
        <f t="shared" si="22"/>
        <v>31.4920708</v>
      </c>
      <c r="AC25" s="89">
        <f t="shared" si="23"/>
        <v>0.07017483111</v>
      </c>
      <c r="AD25" s="84">
        <f t="shared" si="48"/>
        <v>16.55269682</v>
      </c>
      <c r="AE25" s="86">
        <f t="shared" si="24"/>
        <v>37.37424671</v>
      </c>
      <c r="AF25" s="89">
        <f t="shared" si="25"/>
        <v>0.08328227976</v>
      </c>
      <c r="AG25" s="84">
        <f t="shared" si="49"/>
        <v>13.79683121</v>
      </c>
      <c r="AH25" s="84">
        <f t="shared" si="26"/>
        <v>68.06763044</v>
      </c>
      <c r="AI25" s="89">
        <f t="shared" si="27"/>
        <v>0.1516773698</v>
      </c>
      <c r="AJ25" s="85">
        <f t="shared" si="50"/>
        <v>7.605921655</v>
      </c>
      <c r="AK25" s="84">
        <f t="shared" si="28"/>
        <v>34.33629676</v>
      </c>
      <c r="AL25" s="89">
        <f t="shared" si="29"/>
        <v>0.07651271462</v>
      </c>
      <c r="AM25" s="84">
        <f t="shared" si="51"/>
        <v>15.00909491</v>
      </c>
      <c r="AN25" s="84">
        <f t="shared" si="30"/>
        <v>51.48343427</v>
      </c>
      <c r="AO25" s="89">
        <f t="shared" si="31"/>
        <v>0.1147222527</v>
      </c>
      <c r="AP25" s="84">
        <f t="shared" si="52"/>
        <v>9.238737232</v>
      </c>
      <c r="AQ25" s="86">
        <f t="shared" si="32"/>
        <v>77.56066983</v>
      </c>
      <c r="AR25" s="89">
        <f t="shared" si="33"/>
        <v>0.1728310259</v>
      </c>
      <c r="AS25" s="84">
        <f t="shared" si="53"/>
        <v>6.549095545</v>
      </c>
      <c r="AT25" s="84">
        <f t="shared" si="34"/>
        <v>162.8088052</v>
      </c>
      <c r="AU25" s="89">
        <f t="shared" si="35"/>
        <v>0.3627922877</v>
      </c>
      <c r="AV25" s="85">
        <f t="shared" si="54"/>
        <v>4.950965938</v>
      </c>
      <c r="AW25" s="84">
        <f t="shared" si="36"/>
        <v>289.3065632</v>
      </c>
      <c r="AX25" s="89">
        <f t="shared" si="37"/>
        <v>0.6446714583</v>
      </c>
      <c r="AY25" s="84">
        <f t="shared" si="55"/>
        <v>1.723183308</v>
      </c>
      <c r="AZ25" s="84">
        <f t="shared" si="38"/>
        <v>331.0879021</v>
      </c>
      <c r="BA25" s="89">
        <f t="shared" si="39"/>
        <v>0.7377742085</v>
      </c>
      <c r="BB25" s="84">
        <f t="shared" si="56"/>
        <v>1.228967107</v>
      </c>
      <c r="BC25" s="84">
        <f t="shared" si="40"/>
        <v>362.955118</v>
      </c>
      <c r="BD25" s="89">
        <f t="shared" si="41"/>
        <v>0.8087849881</v>
      </c>
      <c r="BE25" s="84">
        <f t="shared" si="57"/>
        <v>1.408193417</v>
      </c>
    </row>
    <row r="26" ht="15.0" customHeight="1">
      <c r="A26" s="82">
        <f t="shared" si="1"/>
        <v>29.4</v>
      </c>
      <c r="B26" s="82">
        <f t="shared" si="2"/>
        <v>30.45</v>
      </c>
      <c r="C26" s="82">
        <f t="shared" si="3"/>
        <v>2.1</v>
      </c>
      <c r="D26" s="84">
        <f t="shared" si="4"/>
        <v>97</v>
      </c>
      <c r="E26" s="84">
        <f t="shared" si="5"/>
        <v>47</v>
      </c>
      <c r="F26" s="84">
        <f t="shared" si="6"/>
        <v>804.1395833</v>
      </c>
      <c r="G26" s="87">
        <f t="shared" si="7"/>
        <v>5016.9</v>
      </c>
      <c r="H26" s="87">
        <f t="shared" si="8"/>
        <v>37526.412</v>
      </c>
      <c r="I26" s="88">
        <f t="shared" si="9"/>
        <v>0.3346459144</v>
      </c>
      <c r="J26" s="84">
        <f t="shared" si="10"/>
        <v>1.742711925</v>
      </c>
      <c r="K26" s="89">
        <f t="shared" si="11"/>
        <v>0.003883343074</v>
      </c>
      <c r="L26" s="84">
        <f t="shared" si="42"/>
        <v>355.3390281</v>
      </c>
      <c r="M26" s="84">
        <f t="shared" si="12"/>
        <v>6.596695183</v>
      </c>
      <c r="N26" s="89">
        <f t="shared" si="13"/>
        <v>0.01469963577</v>
      </c>
      <c r="O26" s="84">
        <f t="shared" si="43"/>
        <v>94.34941758</v>
      </c>
      <c r="P26" s="84">
        <f t="shared" si="14"/>
        <v>8.090225336</v>
      </c>
      <c r="Q26" s="89">
        <f t="shared" si="15"/>
        <v>0.01802771879</v>
      </c>
      <c r="R26" s="84">
        <f t="shared" si="44"/>
        <v>76.40987289</v>
      </c>
      <c r="S26" s="84">
        <f t="shared" si="16"/>
        <v>14.762055</v>
      </c>
      <c r="T26" s="89">
        <f t="shared" si="17"/>
        <v>0.03289477922</v>
      </c>
      <c r="U26" s="84">
        <f t="shared" si="45"/>
        <v>42.10317292</v>
      </c>
      <c r="V26" s="84">
        <f t="shared" si="18"/>
        <v>25.16329087</v>
      </c>
      <c r="W26" s="89">
        <f t="shared" si="19"/>
        <v>0.05607219983</v>
      </c>
      <c r="X26" s="85">
        <f t="shared" si="46"/>
        <v>24.32690894</v>
      </c>
      <c r="Y26" s="86">
        <f t="shared" si="20"/>
        <v>17.53189289</v>
      </c>
      <c r="Z26" s="89">
        <f t="shared" si="21"/>
        <v>0.03906690133</v>
      </c>
      <c r="AA26" s="84">
        <f t="shared" si="47"/>
        <v>35.1781651</v>
      </c>
      <c r="AB26" s="84">
        <f t="shared" si="22"/>
        <v>31.3610784</v>
      </c>
      <c r="AC26" s="89">
        <f t="shared" si="23"/>
        <v>0.06988293638</v>
      </c>
      <c r="AD26" s="84">
        <f t="shared" si="48"/>
        <v>19.74931526</v>
      </c>
      <c r="AE26" s="86">
        <f t="shared" si="24"/>
        <v>36.99310013</v>
      </c>
      <c r="AF26" s="89">
        <f t="shared" si="25"/>
        <v>0.08243295813</v>
      </c>
      <c r="AG26" s="84">
        <f t="shared" si="49"/>
        <v>16.50677985</v>
      </c>
      <c r="AH26" s="84">
        <f t="shared" si="26"/>
        <v>67.52506156</v>
      </c>
      <c r="AI26" s="89">
        <f t="shared" si="27"/>
        <v>0.1504683455</v>
      </c>
      <c r="AJ26" s="85">
        <f t="shared" si="50"/>
        <v>9.090546757</v>
      </c>
      <c r="AK26" s="84">
        <f t="shared" si="28"/>
        <v>34.2304363</v>
      </c>
      <c r="AL26" s="89">
        <f t="shared" si="29"/>
        <v>0.07627682223</v>
      </c>
      <c r="AM26" s="84">
        <f t="shared" si="51"/>
        <v>17.91615009</v>
      </c>
      <c r="AN26" s="84">
        <f t="shared" si="30"/>
        <v>51.30554361</v>
      </c>
      <c r="AO26" s="89">
        <f t="shared" si="31"/>
        <v>0.114325853</v>
      </c>
      <c r="AP26" s="84">
        <f t="shared" si="52"/>
        <v>11.03181791</v>
      </c>
      <c r="AQ26" s="86">
        <f t="shared" si="32"/>
        <v>77.17677952</v>
      </c>
      <c r="AR26" s="89">
        <f t="shared" si="33"/>
        <v>0.1719755904</v>
      </c>
      <c r="AS26" s="84">
        <f t="shared" si="53"/>
        <v>7.81134858</v>
      </c>
      <c r="AT26" s="84">
        <f t="shared" si="34"/>
        <v>161.2613488</v>
      </c>
      <c r="AU26" s="89">
        <f t="shared" si="35"/>
        <v>0.359344039</v>
      </c>
      <c r="AV26" s="85">
        <f t="shared" si="54"/>
        <v>5.924075349</v>
      </c>
      <c r="AW26" s="84">
        <f t="shared" si="36"/>
        <v>280.9385674</v>
      </c>
      <c r="AX26" s="89">
        <f t="shared" si="37"/>
        <v>0.6260247744</v>
      </c>
      <c r="AY26" s="84">
        <f t="shared" si="55"/>
        <v>2.080020756</v>
      </c>
      <c r="AZ26" s="84">
        <f t="shared" si="38"/>
        <v>324.8391639</v>
      </c>
      <c r="BA26" s="89">
        <f t="shared" si="39"/>
        <v>0.723849937</v>
      </c>
      <c r="BB26" s="84">
        <f t="shared" si="56"/>
        <v>1.53757953</v>
      </c>
      <c r="BC26" s="84">
        <f t="shared" si="40"/>
        <v>357.4731353</v>
      </c>
      <c r="BD26" s="89">
        <f t="shared" si="41"/>
        <v>0.7965693031</v>
      </c>
      <c r="BE26" s="84">
        <f t="shared" si="57"/>
        <v>1.688632397</v>
      </c>
    </row>
    <row r="27" ht="15.0" customHeight="1">
      <c r="A27" s="82">
        <f t="shared" si="1"/>
        <v>27.3</v>
      </c>
      <c r="B27" s="82">
        <f t="shared" si="2"/>
        <v>28.35</v>
      </c>
      <c r="C27" s="82">
        <f t="shared" si="3"/>
        <v>2.1</v>
      </c>
      <c r="D27" s="84">
        <f t="shared" si="4"/>
        <v>96.5</v>
      </c>
      <c r="E27" s="84">
        <f t="shared" si="5"/>
        <v>46.5</v>
      </c>
      <c r="F27" s="84">
        <f t="shared" si="6"/>
        <v>791.5395833</v>
      </c>
      <c r="G27" s="87">
        <f t="shared" si="7"/>
        <v>5808.439583</v>
      </c>
      <c r="H27" s="87">
        <f t="shared" si="8"/>
        <v>43447.12808</v>
      </c>
      <c r="I27" s="88">
        <f t="shared" si="9"/>
        <v>0.3874445525</v>
      </c>
      <c r="J27" s="84">
        <f t="shared" si="10"/>
        <v>1.734809636</v>
      </c>
      <c r="K27" s="89">
        <f t="shared" si="11"/>
        <v>0.003865734139</v>
      </c>
      <c r="L27" s="84">
        <f t="shared" si="42"/>
        <v>412.2205437</v>
      </c>
      <c r="M27" s="84">
        <f t="shared" si="12"/>
        <v>6.582004105</v>
      </c>
      <c r="N27" s="89">
        <f t="shared" si="13"/>
        <v>0.01466689915</v>
      </c>
      <c r="O27" s="84">
        <f t="shared" si="43"/>
        <v>109.3415993</v>
      </c>
      <c r="P27" s="84">
        <f t="shared" si="14"/>
        <v>8.047097391</v>
      </c>
      <c r="Q27" s="89">
        <f t="shared" si="15"/>
        <v>0.01793161535</v>
      </c>
      <c r="R27" s="84">
        <f t="shared" si="44"/>
        <v>88.67250581</v>
      </c>
      <c r="S27" s="84">
        <f t="shared" si="16"/>
        <v>14.71981481</v>
      </c>
      <c r="T27" s="89">
        <f t="shared" si="17"/>
        <v>0.03280065401</v>
      </c>
      <c r="U27" s="84">
        <f t="shared" si="45"/>
        <v>48.80696659</v>
      </c>
      <c r="V27" s="84">
        <f t="shared" si="18"/>
        <v>24.91672279</v>
      </c>
      <c r="W27" s="89">
        <f t="shared" si="19"/>
        <v>0.05552276394</v>
      </c>
      <c r="X27" s="85">
        <f t="shared" si="46"/>
        <v>28.28724522</v>
      </c>
      <c r="Y27" s="86">
        <f t="shared" si="20"/>
        <v>17.41987515</v>
      </c>
      <c r="Z27" s="89">
        <f t="shared" si="21"/>
        <v>0.03881728845</v>
      </c>
      <c r="AA27" s="84">
        <f t="shared" si="47"/>
        <v>40.84287857</v>
      </c>
      <c r="AB27" s="84">
        <f t="shared" si="22"/>
        <v>31.22132633</v>
      </c>
      <c r="AC27" s="89">
        <f t="shared" si="23"/>
        <v>0.06957152217</v>
      </c>
      <c r="AD27" s="84">
        <f t="shared" si="48"/>
        <v>22.90993055</v>
      </c>
      <c r="AE27" s="86">
        <f t="shared" si="24"/>
        <v>36.58901906</v>
      </c>
      <c r="AF27" s="89">
        <f t="shared" si="25"/>
        <v>0.0815325308</v>
      </c>
      <c r="AG27" s="84">
        <f t="shared" si="49"/>
        <v>19.20372565</v>
      </c>
      <c r="AH27" s="84">
        <f t="shared" si="26"/>
        <v>66.94850459</v>
      </c>
      <c r="AI27" s="89">
        <f t="shared" si="27"/>
        <v>0.1491835844</v>
      </c>
      <c r="AJ27" s="85">
        <f t="shared" si="50"/>
        <v>10.56449456</v>
      </c>
      <c r="AK27" s="84">
        <f t="shared" si="28"/>
        <v>34.11737034</v>
      </c>
      <c r="AL27" s="89">
        <f t="shared" si="29"/>
        <v>0.07602487357</v>
      </c>
      <c r="AM27" s="84">
        <f t="shared" si="51"/>
        <v>20.79371053</v>
      </c>
      <c r="AN27" s="84">
        <f t="shared" si="30"/>
        <v>51.11561811</v>
      </c>
      <c r="AO27" s="89">
        <f t="shared" si="31"/>
        <v>0.1139026357</v>
      </c>
      <c r="AP27" s="84">
        <f t="shared" si="52"/>
        <v>12.80810184</v>
      </c>
      <c r="AQ27" s="86">
        <f t="shared" si="32"/>
        <v>76.76755435</v>
      </c>
      <c r="AR27" s="89">
        <f t="shared" si="33"/>
        <v>0.1710637003</v>
      </c>
      <c r="AS27" s="84">
        <f t="shared" si="53"/>
        <v>9.058440017</v>
      </c>
      <c r="AT27" s="84">
        <f t="shared" si="34"/>
        <v>159.6195881</v>
      </c>
      <c r="AU27" s="89">
        <f t="shared" si="35"/>
        <v>0.3556856488</v>
      </c>
      <c r="AV27" s="85">
        <f t="shared" si="54"/>
        <v>6.892764766</v>
      </c>
      <c r="AW27" s="84">
        <f t="shared" si="36"/>
        <v>272.2407906</v>
      </c>
      <c r="AX27" s="89">
        <f t="shared" si="37"/>
        <v>0.6066432283</v>
      </c>
      <c r="AY27" s="84">
        <f t="shared" si="55"/>
        <v>2.442488853</v>
      </c>
      <c r="AZ27" s="84">
        <f t="shared" si="38"/>
        <v>318.2745432</v>
      </c>
      <c r="BA27" s="89">
        <f t="shared" si="39"/>
        <v>0.7092217737</v>
      </c>
      <c r="BB27" s="84">
        <f t="shared" si="56"/>
        <v>1.847621924</v>
      </c>
      <c r="BC27" s="84">
        <f t="shared" si="40"/>
        <v>351.6911155</v>
      </c>
      <c r="BD27" s="89">
        <f t="shared" si="41"/>
        <v>0.7836850358</v>
      </c>
      <c r="BE27" s="84">
        <f t="shared" si="57"/>
        <v>1.969215548</v>
      </c>
    </row>
    <row r="28" ht="15.0" customHeight="1">
      <c r="A28" s="82">
        <f t="shared" si="1"/>
        <v>25.2</v>
      </c>
      <c r="B28" s="82">
        <f t="shared" si="2"/>
        <v>26.25</v>
      </c>
      <c r="C28" s="82">
        <f t="shared" si="3"/>
        <v>2.1</v>
      </c>
      <c r="D28" s="84">
        <f t="shared" si="4"/>
        <v>96</v>
      </c>
      <c r="E28" s="84">
        <f t="shared" si="5"/>
        <v>46</v>
      </c>
      <c r="F28" s="84">
        <f t="shared" si="6"/>
        <v>779.0270833</v>
      </c>
      <c r="G28" s="87">
        <f t="shared" si="7"/>
        <v>6587.466667</v>
      </c>
      <c r="H28" s="87">
        <f t="shared" si="8"/>
        <v>49274.25067</v>
      </c>
      <c r="I28" s="88">
        <f t="shared" si="9"/>
        <v>0.4394085603</v>
      </c>
      <c r="J28" s="84">
        <f t="shared" si="10"/>
        <v>1.726338973</v>
      </c>
      <c r="K28" s="89">
        <f t="shared" si="11"/>
        <v>0.003846858677</v>
      </c>
      <c r="L28" s="84">
        <f t="shared" si="42"/>
        <v>468.4775774</v>
      </c>
      <c r="M28" s="84">
        <f t="shared" si="12"/>
        <v>6.566218458</v>
      </c>
      <c r="N28" s="89">
        <f t="shared" si="13"/>
        <v>0.01463172346</v>
      </c>
      <c r="O28" s="84">
        <f t="shared" si="43"/>
        <v>124.13226</v>
      </c>
      <c r="P28" s="84">
        <f t="shared" si="14"/>
        <v>8.000905862</v>
      </c>
      <c r="Q28" s="89">
        <f t="shared" si="15"/>
        <v>0.01782868523</v>
      </c>
      <c r="R28" s="84">
        <f t="shared" si="44"/>
        <v>100.8109701</v>
      </c>
      <c r="S28" s="84">
        <f t="shared" si="16"/>
        <v>14.67445746</v>
      </c>
      <c r="T28" s="89">
        <f t="shared" si="17"/>
        <v>0.03269958271</v>
      </c>
      <c r="U28" s="84">
        <f t="shared" si="45"/>
        <v>55.42518127</v>
      </c>
      <c r="V28" s="84">
        <f t="shared" si="18"/>
        <v>24.65387144</v>
      </c>
      <c r="W28" s="89">
        <f t="shared" si="19"/>
        <v>0.05493704352</v>
      </c>
      <c r="X28" s="85">
        <f t="shared" si="46"/>
        <v>32.22653362</v>
      </c>
      <c r="Y28" s="86">
        <f t="shared" si="20"/>
        <v>17.30003282</v>
      </c>
      <c r="Z28" s="89">
        <f t="shared" si="21"/>
        <v>0.03855023981</v>
      </c>
      <c r="AA28" s="84">
        <f t="shared" si="47"/>
        <v>46.45666617</v>
      </c>
      <c r="AB28" s="84">
        <f t="shared" si="22"/>
        <v>31.07151032</v>
      </c>
      <c r="AC28" s="89">
        <f t="shared" si="23"/>
        <v>0.06923768216</v>
      </c>
      <c r="AD28" s="84">
        <f t="shared" si="48"/>
        <v>26.03558195</v>
      </c>
      <c r="AE28" s="86">
        <f t="shared" si="24"/>
        <v>36.15876053</v>
      </c>
      <c r="AF28" s="89">
        <f t="shared" si="25"/>
        <v>0.08057377139</v>
      </c>
      <c r="AG28" s="84">
        <f t="shared" si="49"/>
        <v>21.88962274</v>
      </c>
      <c r="AH28" s="84">
        <f t="shared" si="26"/>
        <v>66.33305969</v>
      </c>
      <c r="AI28" s="89">
        <f t="shared" si="27"/>
        <v>0.147812168</v>
      </c>
      <c r="AJ28" s="85">
        <f t="shared" si="50"/>
        <v>12.02860175</v>
      </c>
      <c r="AK28" s="84">
        <f t="shared" si="28"/>
        <v>33.99601638</v>
      </c>
      <c r="AL28" s="89">
        <f t="shared" si="29"/>
        <v>0.0757544565</v>
      </c>
      <c r="AM28" s="84">
        <f t="shared" si="51"/>
        <v>23.6429008</v>
      </c>
      <c r="AN28" s="84">
        <f t="shared" si="30"/>
        <v>50.91185533</v>
      </c>
      <c r="AO28" s="89">
        <f t="shared" si="31"/>
        <v>0.1134485843</v>
      </c>
      <c r="AP28" s="84">
        <f t="shared" si="52"/>
        <v>14.56836275</v>
      </c>
      <c r="AQ28" s="86">
        <f t="shared" si="32"/>
        <v>76.32924694</v>
      </c>
      <c r="AR28" s="89">
        <f t="shared" si="33"/>
        <v>0.1700870053</v>
      </c>
      <c r="AS28" s="84">
        <f t="shared" si="53"/>
        <v>10.29072997</v>
      </c>
      <c r="AT28" s="84">
        <f t="shared" si="34"/>
        <v>157.8701072</v>
      </c>
      <c r="AU28" s="89">
        <f t="shared" si="35"/>
        <v>0.3517872223</v>
      </c>
      <c r="AV28" s="85">
        <f t="shared" si="54"/>
        <v>7.857753027</v>
      </c>
      <c r="AW28" s="84">
        <f t="shared" si="36"/>
        <v>263.1742552</v>
      </c>
      <c r="AX28" s="89">
        <f t="shared" si="37"/>
        <v>0.5864399653</v>
      </c>
      <c r="AY28" s="84">
        <f t="shared" si="55"/>
        <v>2.811517008</v>
      </c>
      <c r="AZ28" s="84">
        <f t="shared" si="38"/>
        <v>311.3527719</v>
      </c>
      <c r="BA28" s="89">
        <f t="shared" si="39"/>
        <v>0.6937977601</v>
      </c>
      <c r="BB28" s="84">
        <f t="shared" si="56"/>
        <v>2.159546912</v>
      </c>
      <c r="BC28" s="84">
        <f t="shared" si="40"/>
        <v>345.5684589</v>
      </c>
      <c r="BD28" s="89">
        <f t="shared" si="41"/>
        <v>0.770041716</v>
      </c>
      <c r="BE28" s="84">
        <f t="shared" si="57"/>
        <v>2.250255982</v>
      </c>
    </row>
    <row r="29" ht="15.0" customHeight="1">
      <c r="A29" s="82">
        <f t="shared" si="1"/>
        <v>23.1</v>
      </c>
      <c r="B29" s="82">
        <f t="shared" si="2"/>
        <v>24.15</v>
      </c>
      <c r="C29" s="82">
        <f t="shared" si="3"/>
        <v>2.1</v>
      </c>
      <c r="D29" s="84">
        <f t="shared" si="4"/>
        <v>95.5</v>
      </c>
      <c r="E29" s="84">
        <f t="shared" si="5"/>
        <v>45.5</v>
      </c>
      <c r="F29" s="84">
        <f t="shared" si="6"/>
        <v>766.6020833</v>
      </c>
      <c r="G29" s="87">
        <f t="shared" si="7"/>
        <v>7354.06875</v>
      </c>
      <c r="H29" s="87">
        <f t="shared" si="8"/>
        <v>55008.43425</v>
      </c>
      <c r="I29" s="88">
        <f t="shared" si="9"/>
        <v>0.4905437743</v>
      </c>
      <c r="J29" s="84">
        <f t="shared" si="10"/>
        <v>1.717208307</v>
      </c>
      <c r="K29" s="89">
        <f t="shared" si="11"/>
        <v>0.003826512511</v>
      </c>
      <c r="L29" s="84">
        <f t="shared" si="42"/>
        <v>524.1317027</v>
      </c>
      <c r="M29" s="84">
        <f t="shared" si="12"/>
        <v>6.549158601</v>
      </c>
      <c r="N29" s="89">
        <f t="shared" si="13"/>
        <v>0.01459370842</v>
      </c>
      <c r="O29" s="84">
        <f t="shared" si="43"/>
        <v>138.7249325</v>
      </c>
      <c r="P29" s="84">
        <f t="shared" si="14"/>
        <v>7.95115995</v>
      </c>
      <c r="Q29" s="89">
        <f t="shared" si="15"/>
        <v>0.01771783475</v>
      </c>
      <c r="R29" s="84">
        <f t="shared" si="44"/>
        <v>112.8305656</v>
      </c>
      <c r="S29" s="84">
        <f t="shared" si="16"/>
        <v>14.62547385</v>
      </c>
      <c r="T29" s="89">
        <f t="shared" si="17"/>
        <v>0.03259043089</v>
      </c>
      <c r="U29" s="84">
        <f t="shared" si="45"/>
        <v>61.9596517</v>
      </c>
      <c r="V29" s="84">
        <f t="shared" si="18"/>
        <v>24.37221999</v>
      </c>
      <c r="W29" s="89">
        <f t="shared" si="19"/>
        <v>0.05430943021</v>
      </c>
      <c r="X29" s="85">
        <f t="shared" si="46"/>
        <v>36.14779014</v>
      </c>
      <c r="Y29" s="86">
        <f t="shared" si="20"/>
        <v>17.17112284</v>
      </c>
      <c r="Z29" s="89">
        <f t="shared" si="21"/>
        <v>0.0382629854</v>
      </c>
      <c r="AA29" s="84">
        <f t="shared" si="47"/>
        <v>52.02238992</v>
      </c>
      <c r="AB29" s="84">
        <f t="shared" si="22"/>
        <v>30.91000698</v>
      </c>
      <c r="AC29" s="89">
        <f t="shared" si="23"/>
        <v>0.06887779888</v>
      </c>
      <c r="AD29" s="84">
        <f t="shared" si="48"/>
        <v>29.12745205</v>
      </c>
      <c r="AE29" s="86">
        <f t="shared" si="24"/>
        <v>35.69831555</v>
      </c>
      <c r="AF29" s="89">
        <f t="shared" si="25"/>
        <v>0.07954774649</v>
      </c>
      <c r="AG29" s="84">
        <f t="shared" si="49"/>
        <v>24.56677221</v>
      </c>
      <c r="AH29" s="84">
        <f t="shared" si="26"/>
        <v>65.67265427</v>
      </c>
      <c r="AI29" s="89">
        <f t="shared" si="27"/>
        <v>0.1463405646</v>
      </c>
      <c r="AJ29" s="85">
        <f t="shared" si="50"/>
        <v>13.48384561</v>
      </c>
      <c r="AK29" s="84">
        <f t="shared" si="28"/>
        <v>33.86502544</v>
      </c>
      <c r="AL29" s="89">
        <f t="shared" si="29"/>
        <v>0.07546256502</v>
      </c>
      <c r="AM29" s="84">
        <f t="shared" si="51"/>
        <v>26.46501319</v>
      </c>
      <c r="AN29" s="84">
        <f t="shared" si="30"/>
        <v>50.69201003</v>
      </c>
      <c r="AO29" s="89">
        <f t="shared" si="31"/>
        <v>0.1129586957</v>
      </c>
      <c r="AP29" s="84">
        <f t="shared" si="52"/>
        <v>16.31349455</v>
      </c>
      <c r="AQ29" s="86">
        <f t="shared" si="32"/>
        <v>75.85719718</v>
      </c>
      <c r="AR29" s="89">
        <f t="shared" si="33"/>
        <v>0.169035121</v>
      </c>
      <c r="AS29" s="84">
        <f t="shared" si="53"/>
        <v>11.50862473</v>
      </c>
      <c r="AT29" s="84">
        <f t="shared" si="34"/>
        <v>155.9963083</v>
      </c>
      <c r="AU29" s="89">
        <f t="shared" si="35"/>
        <v>0.3476117737</v>
      </c>
      <c r="AV29" s="85">
        <f t="shared" si="54"/>
        <v>8.819887208</v>
      </c>
      <c r="AW29" s="84">
        <f t="shared" si="36"/>
        <v>253.6917973</v>
      </c>
      <c r="AX29" s="89">
        <f t="shared" si="37"/>
        <v>0.5653098883</v>
      </c>
      <c r="AY29" s="84">
        <f t="shared" si="55"/>
        <v>3.188232879</v>
      </c>
      <c r="AZ29" s="84">
        <f t="shared" si="38"/>
        <v>304.0233351</v>
      </c>
      <c r="BA29" s="89">
        <f t="shared" si="39"/>
        <v>0.6774653316</v>
      </c>
      <c r="BB29" s="84">
        <f t="shared" si="56"/>
        <v>2.473896883</v>
      </c>
      <c r="BC29" s="84">
        <f t="shared" si="40"/>
        <v>339.0552539</v>
      </c>
      <c r="BD29" s="89">
        <f t="shared" si="41"/>
        <v>0.7555281241</v>
      </c>
      <c r="BE29" s="84">
        <f t="shared" si="57"/>
        <v>2.532126637</v>
      </c>
    </row>
    <row r="30" ht="15.0" customHeight="1">
      <c r="A30" s="82">
        <f t="shared" si="1"/>
        <v>21</v>
      </c>
      <c r="B30" s="82">
        <f t="shared" si="2"/>
        <v>22.05</v>
      </c>
      <c r="C30" s="82">
        <f t="shared" si="3"/>
        <v>2.1</v>
      </c>
      <c r="D30" s="84">
        <f t="shared" si="4"/>
        <v>95</v>
      </c>
      <c r="E30" s="84">
        <f t="shared" si="5"/>
        <v>45</v>
      </c>
      <c r="F30" s="84">
        <f t="shared" si="6"/>
        <v>754.2645833</v>
      </c>
      <c r="G30" s="87">
        <f t="shared" si="7"/>
        <v>8108.333333</v>
      </c>
      <c r="H30" s="87">
        <f t="shared" si="8"/>
        <v>60650.33333</v>
      </c>
      <c r="I30" s="88">
        <f t="shared" si="9"/>
        <v>0.5408560311</v>
      </c>
      <c r="J30" s="84">
        <f t="shared" si="10"/>
        <v>1.707301562</v>
      </c>
      <c r="K30" s="89">
        <f t="shared" si="11"/>
        <v>0.00380443698</v>
      </c>
      <c r="L30" s="84">
        <f t="shared" si="42"/>
        <v>579.2078846</v>
      </c>
      <c r="M30" s="84">
        <f t="shared" si="12"/>
        <v>6.530596351</v>
      </c>
      <c r="N30" s="89">
        <f t="shared" si="13"/>
        <v>0.01455234554</v>
      </c>
      <c r="O30" s="84">
        <f t="shared" si="43"/>
        <v>153.1235642</v>
      </c>
      <c r="P30" s="84">
        <f t="shared" si="14"/>
        <v>7.897238446</v>
      </c>
      <c r="Q30" s="89">
        <f t="shared" si="15"/>
        <v>0.01759767967</v>
      </c>
      <c r="R30" s="84">
        <f t="shared" si="44"/>
        <v>124.7374685</v>
      </c>
      <c r="S30" s="84">
        <f t="shared" si="16"/>
        <v>14.57221778</v>
      </c>
      <c r="T30" s="89">
        <f t="shared" si="17"/>
        <v>0.03247175862</v>
      </c>
      <c r="U30" s="84">
        <f t="shared" si="45"/>
        <v>68.41245475</v>
      </c>
      <c r="V30" s="84">
        <f t="shared" si="18"/>
        <v>24.06859907</v>
      </c>
      <c r="W30" s="89">
        <f t="shared" si="19"/>
        <v>0.05363286159</v>
      </c>
      <c r="X30" s="85">
        <f t="shared" si="46"/>
        <v>40.05460877</v>
      </c>
      <c r="Y30" s="86">
        <f t="shared" si="20"/>
        <v>17.03157373</v>
      </c>
      <c r="Z30" s="89">
        <f t="shared" si="21"/>
        <v>0.03795202347</v>
      </c>
      <c r="AA30" s="84">
        <f t="shared" si="47"/>
        <v>57.54340947</v>
      </c>
      <c r="AB30" s="84">
        <f t="shared" si="22"/>
        <v>30.73475951</v>
      </c>
      <c r="AC30" s="89">
        <f t="shared" si="23"/>
        <v>0.06848728911</v>
      </c>
      <c r="AD30" s="84">
        <f t="shared" si="48"/>
        <v>32.18690827</v>
      </c>
      <c r="AE30" s="86">
        <f t="shared" si="24"/>
        <v>35.20264219</v>
      </c>
      <c r="AF30" s="89">
        <f t="shared" si="25"/>
        <v>0.07844322101</v>
      </c>
      <c r="AG30" s="84">
        <f t="shared" si="49"/>
        <v>27.23792544</v>
      </c>
      <c r="AH30" s="84">
        <f t="shared" si="26"/>
        <v>64.95963027</v>
      </c>
      <c r="AI30" s="89">
        <f t="shared" si="27"/>
        <v>0.1447517095</v>
      </c>
      <c r="AJ30" s="85">
        <f t="shared" si="50"/>
        <v>14.93138542</v>
      </c>
      <c r="AK30" s="84">
        <f t="shared" si="28"/>
        <v>33.72268616</v>
      </c>
      <c r="AL30" s="89">
        <f t="shared" si="29"/>
        <v>0.07514538565</v>
      </c>
      <c r="AM30" s="84">
        <f t="shared" si="51"/>
        <v>29.26155646</v>
      </c>
      <c r="AN30" s="84">
        <f t="shared" si="30"/>
        <v>50.45323511</v>
      </c>
      <c r="AO30" s="89">
        <f t="shared" si="31"/>
        <v>0.1124266256</v>
      </c>
      <c r="AP30" s="84">
        <f t="shared" si="52"/>
        <v>18.04454635</v>
      </c>
      <c r="AQ30" s="86">
        <f t="shared" si="32"/>
        <v>75.34550648</v>
      </c>
      <c r="AR30" s="89">
        <f t="shared" si="33"/>
        <v>0.1678949036</v>
      </c>
      <c r="AS30" s="84">
        <f t="shared" si="53"/>
        <v>12.71259004</v>
      </c>
      <c r="AT30" s="84">
        <f t="shared" si="34"/>
        <v>153.9772992</v>
      </c>
      <c r="AU30" s="89">
        <f t="shared" si="35"/>
        <v>0.3431127484</v>
      </c>
      <c r="AV30" s="85">
        <f t="shared" si="54"/>
        <v>9.78018086</v>
      </c>
      <c r="AW30" s="84">
        <f t="shared" si="36"/>
        <v>243.7354594</v>
      </c>
      <c r="AX30" s="89">
        <f t="shared" si="37"/>
        <v>0.5431238486</v>
      </c>
      <c r="AY30" s="84">
        <f t="shared" si="55"/>
        <v>3.574026771</v>
      </c>
      <c r="AZ30" s="84">
        <f t="shared" si="38"/>
        <v>296.2233769</v>
      </c>
      <c r="BA30" s="89">
        <f t="shared" si="39"/>
        <v>0.6600844249</v>
      </c>
      <c r="BB30" s="84">
        <f t="shared" si="56"/>
        <v>2.791331828</v>
      </c>
      <c r="BC30" s="84">
        <f t="shared" si="40"/>
        <v>332.0891062</v>
      </c>
      <c r="BD30" s="89">
        <f t="shared" si="41"/>
        <v>0.740005225</v>
      </c>
      <c r="BE30" s="84">
        <f t="shared" si="57"/>
        <v>2.815278507</v>
      </c>
    </row>
    <row r="31" ht="15.0" customHeight="1">
      <c r="A31" s="82">
        <f t="shared" si="1"/>
        <v>18.9</v>
      </c>
      <c r="B31" s="82">
        <f t="shared" si="2"/>
        <v>19.95</v>
      </c>
      <c r="C31" s="82">
        <f t="shared" si="3"/>
        <v>2.1</v>
      </c>
      <c r="D31" s="84">
        <f t="shared" si="4"/>
        <v>94.5</v>
      </c>
      <c r="E31" s="84">
        <f t="shared" si="5"/>
        <v>44.5</v>
      </c>
      <c r="F31" s="84">
        <f t="shared" si="6"/>
        <v>742.0145833</v>
      </c>
      <c r="G31" s="87">
        <f t="shared" si="7"/>
        <v>8850.347917</v>
      </c>
      <c r="H31" s="87">
        <f t="shared" si="8"/>
        <v>66200.60242</v>
      </c>
      <c r="I31" s="88">
        <f t="shared" si="9"/>
        <v>0.5903511673</v>
      </c>
      <c r="J31" s="84">
        <f t="shared" si="10"/>
        <v>1.696468576</v>
      </c>
      <c r="K31" s="89">
        <f t="shared" si="11"/>
        <v>0.003780297476</v>
      </c>
      <c r="L31" s="84">
        <f t="shared" si="42"/>
        <v>633.7355582</v>
      </c>
      <c r="M31" s="84">
        <f t="shared" si="12"/>
        <v>6.510235691</v>
      </c>
      <c r="N31" s="89">
        <f t="shared" si="13"/>
        <v>0.0145069752</v>
      </c>
      <c r="O31" s="84">
        <f t="shared" si="43"/>
        <v>167.332648</v>
      </c>
      <c r="P31" s="84">
        <f t="shared" si="14"/>
        <v>7.838338547</v>
      </c>
      <c r="Q31" s="89">
        <f t="shared" si="15"/>
        <v>0.01746643106</v>
      </c>
      <c r="R31" s="84">
        <f t="shared" si="44"/>
        <v>136.5390109</v>
      </c>
      <c r="S31" s="84">
        <f t="shared" si="16"/>
        <v>14.51385162</v>
      </c>
      <c r="T31" s="89">
        <f t="shared" si="17"/>
        <v>0.03234169935</v>
      </c>
      <c r="U31" s="84">
        <f t="shared" si="45"/>
        <v>74.78598586</v>
      </c>
      <c r="V31" s="84">
        <f t="shared" si="18"/>
        <v>23.73893547</v>
      </c>
      <c r="W31" s="89">
        <f t="shared" si="19"/>
        <v>0.05289826121</v>
      </c>
      <c r="X31" s="85">
        <f t="shared" si="46"/>
        <v>43.95134984</v>
      </c>
      <c r="Y31" s="86">
        <f t="shared" si="20"/>
        <v>16.8793573</v>
      </c>
      <c r="Z31" s="89">
        <f t="shared" si="21"/>
        <v>0.03761283451</v>
      </c>
      <c r="AA31" s="84">
        <f t="shared" si="47"/>
        <v>63.02374163</v>
      </c>
      <c r="AB31" s="84">
        <f t="shared" si="22"/>
        <v>30.54310699</v>
      </c>
      <c r="AC31" s="89">
        <f t="shared" si="23"/>
        <v>0.0680602234</v>
      </c>
      <c r="AD31" s="84">
        <f t="shared" si="48"/>
        <v>35.21556167</v>
      </c>
      <c r="AE31" s="86">
        <f t="shared" si="24"/>
        <v>34.66526977</v>
      </c>
      <c r="AF31" s="89">
        <f t="shared" si="25"/>
        <v>0.07724577613</v>
      </c>
      <c r="AG31" s="84">
        <f t="shared" si="49"/>
        <v>29.90643157</v>
      </c>
      <c r="AH31" s="84">
        <f t="shared" si="26"/>
        <v>64.18413034</v>
      </c>
      <c r="AI31" s="89">
        <f t="shared" si="27"/>
        <v>0.1430236371</v>
      </c>
      <c r="AJ31" s="85">
        <f t="shared" si="50"/>
        <v>16.37262151</v>
      </c>
      <c r="AK31" s="84">
        <f t="shared" si="28"/>
        <v>33.56678131</v>
      </c>
      <c r="AL31" s="89">
        <f t="shared" si="29"/>
        <v>0.07479797769</v>
      </c>
      <c r="AM31" s="84">
        <f t="shared" si="51"/>
        <v>32.0343251</v>
      </c>
      <c r="AN31" s="84">
        <f t="shared" si="30"/>
        <v>50.19184375</v>
      </c>
      <c r="AO31" s="89">
        <f t="shared" si="31"/>
        <v>0.1118441585</v>
      </c>
      <c r="AP31" s="84">
        <f t="shared" si="52"/>
        <v>19.76277231</v>
      </c>
      <c r="AQ31" s="86">
        <f t="shared" si="32"/>
        <v>74.7865517</v>
      </c>
      <c r="AR31" s="89">
        <f t="shared" si="33"/>
        <v>0.166649366</v>
      </c>
      <c r="AS31" s="84">
        <f t="shared" si="53"/>
        <v>13.90316999</v>
      </c>
      <c r="AT31" s="84">
        <f t="shared" si="34"/>
        <v>151.7862426</v>
      </c>
      <c r="AU31" s="89">
        <f t="shared" si="35"/>
        <v>0.338230344</v>
      </c>
      <c r="AV31" s="85">
        <f t="shared" si="54"/>
        <v>10.73986858</v>
      </c>
      <c r="AW31" s="84">
        <f t="shared" si="36"/>
        <v>233.2327132</v>
      </c>
      <c r="AX31" s="89">
        <f t="shared" si="37"/>
        <v>0.5197202292</v>
      </c>
      <c r="AY31" s="84">
        <f t="shared" si="55"/>
        <v>3.970645596</v>
      </c>
      <c r="AZ31" s="84">
        <f t="shared" si="38"/>
        <v>287.8731631</v>
      </c>
      <c r="BA31" s="89">
        <f t="shared" si="39"/>
        <v>0.6414773652</v>
      </c>
      <c r="BB31" s="84">
        <f t="shared" si="56"/>
        <v>3.112669474</v>
      </c>
      <c r="BC31" s="84">
        <f t="shared" si="40"/>
        <v>324.5904649</v>
      </c>
      <c r="BD31" s="89">
        <f t="shared" si="41"/>
        <v>0.7232957527</v>
      </c>
      <c r="BE31" s="84">
        <f t="shared" si="57"/>
        <v>3.100266807</v>
      </c>
    </row>
    <row r="32" ht="15.0" customHeight="1">
      <c r="A32" s="82">
        <f t="shared" si="1"/>
        <v>16.8</v>
      </c>
      <c r="B32" s="82">
        <f t="shared" si="2"/>
        <v>17.85</v>
      </c>
      <c r="C32" s="82">
        <f t="shared" si="3"/>
        <v>2.1</v>
      </c>
      <c r="D32" s="84">
        <f t="shared" si="4"/>
        <v>94</v>
      </c>
      <c r="E32" s="84">
        <f t="shared" si="5"/>
        <v>44</v>
      </c>
      <c r="F32" s="84">
        <f t="shared" si="6"/>
        <v>729.8520833</v>
      </c>
      <c r="G32" s="87">
        <f t="shared" si="7"/>
        <v>9580.2</v>
      </c>
      <c r="H32" s="87">
        <f t="shared" si="8"/>
        <v>71659.896</v>
      </c>
      <c r="I32" s="88">
        <f t="shared" si="9"/>
        <v>0.6390350195</v>
      </c>
      <c r="J32" s="84">
        <f t="shared" si="10"/>
        <v>1.684510187</v>
      </c>
      <c r="K32" s="89">
        <f t="shared" si="11"/>
        <v>0.003753650201</v>
      </c>
      <c r="L32" s="84">
        <f t="shared" si="42"/>
        <v>687.7502071</v>
      </c>
      <c r="M32" s="84">
        <f t="shared" si="12"/>
        <v>6.487682767</v>
      </c>
      <c r="N32" s="89">
        <f t="shared" si="13"/>
        <v>0.01445671977</v>
      </c>
      <c r="O32" s="84">
        <f t="shared" si="43"/>
        <v>181.357413</v>
      </c>
      <c r="P32" s="84">
        <f t="shared" si="14"/>
        <v>7.773396621</v>
      </c>
      <c r="Q32" s="89">
        <f t="shared" si="15"/>
        <v>0.0173217188</v>
      </c>
      <c r="R32" s="84">
        <f t="shared" si="44"/>
        <v>148.2440905</v>
      </c>
      <c r="S32" s="84">
        <f t="shared" si="16"/>
        <v>14.44926184</v>
      </c>
      <c r="T32" s="89">
        <f t="shared" si="17"/>
        <v>0.0321977718</v>
      </c>
      <c r="U32" s="84">
        <f t="shared" si="45"/>
        <v>81.08307061</v>
      </c>
      <c r="V32" s="84">
        <f t="shared" si="18"/>
        <v>23.37786547</v>
      </c>
      <c r="W32" s="89">
        <f t="shared" si="19"/>
        <v>0.05209367689</v>
      </c>
      <c r="X32" s="85">
        <f t="shared" si="46"/>
        <v>47.84341717</v>
      </c>
      <c r="Y32" s="86">
        <f t="shared" si="20"/>
        <v>16.71179026</v>
      </c>
      <c r="Z32" s="89">
        <f t="shared" si="21"/>
        <v>0.03723943931</v>
      </c>
      <c r="AA32" s="84">
        <f t="shared" si="47"/>
        <v>68.46829454</v>
      </c>
      <c r="AB32" s="84">
        <f t="shared" si="22"/>
        <v>30.33151974</v>
      </c>
      <c r="AC32" s="89">
        <f t="shared" si="23"/>
        <v>0.06758873649</v>
      </c>
      <c r="AD32" s="84">
        <f t="shared" si="48"/>
        <v>38.21535288</v>
      </c>
      <c r="AE32" s="86">
        <f t="shared" si="24"/>
        <v>34.07769056</v>
      </c>
      <c r="AF32" s="89">
        <f t="shared" si="25"/>
        <v>0.07593645379</v>
      </c>
      <c r="AG32" s="84">
        <f t="shared" si="49"/>
        <v>32.57645482</v>
      </c>
      <c r="AH32" s="84">
        <f t="shared" si="26"/>
        <v>63.33315154</v>
      </c>
      <c r="AI32" s="89">
        <f t="shared" si="27"/>
        <v>0.1411273727</v>
      </c>
      <c r="AJ32" s="85">
        <f t="shared" si="50"/>
        <v>17.80928184</v>
      </c>
      <c r="AK32" s="84">
        <f t="shared" si="28"/>
        <v>33.39436521</v>
      </c>
      <c r="AL32" s="89">
        <f t="shared" si="29"/>
        <v>0.07441377715</v>
      </c>
      <c r="AM32" s="84">
        <f t="shared" si="51"/>
        <v>34.78550063</v>
      </c>
      <c r="AN32" s="84">
        <f t="shared" si="30"/>
        <v>49.90294045</v>
      </c>
      <c r="AO32" s="89">
        <f t="shared" si="31"/>
        <v>0.1112003856</v>
      </c>
      <c r="AP32" s="84">
        <f t="shared" si="52"/>
        <v>21.4697046</v>
      </c>
      <c r="AQ32" s="86">
        <f t="shared" si="32"/>
        <v>74.17023257</v>
      </c>
      <c r="AR32" s="89">
        <f t="shared" si="33"/>
        <v>0.1652760016</v>
      </c>
      <c r="AS32" s="84">
        <f t="shared" si="53"/>
        <v>15.08101459</v>
      </c>
      <c r="AT32" s="84">
        <f t="shared" si="34"/>
        <v>149.3878168</v>
      </c>
      <c r="AU32" s="89">
        <f t="shared" si="35"/>
        <v>0.3328858517</v>
      </c>
      <c r="AV32" s="85">
        <f t="shared" si="54"/>
        <v>11.70048647</v>
      </c>
      <c r="AW32" s="84">
        <f t="shared" si="36"/>
        <v>222.0908033</v>
      </c>
      <c r="AX32" s="89">
        <f t="shared" si="37"/>
        <v>0.49489234</v>
      </c>
      <c r="AY32" s="84">
        <f t="shared" si="55"/>
        <v>4.380334899</v>
      </c>
      <c r="AZ32" s="84">
        <f t="shared" si="38"/>
        <v>278.8691885</v>
      </c>
      <c r="BA32" s="89">
        <f t="shared" si="39"/>
        <v>0.6214135084</v>
      </c>
      <c r="BB32" s="84">
        <f t="shared" si="56"/>
        <v>3.438945126</v>
      </c>
      <c r="BC32" s="84">
        <f t="shared" si="40"/>
        <v>316.4554869</v>
      </c>
      <c r="BD32" s="89">
        <f t="shared" si="41"/>
        <v>0.7051683099</v>
      </c>
      <c r="BE32" s="84">
        <f t="shared" si="57"/>
        <v>3.387789792</v>
      </c>
    </row>
    <row r="33" ht="15.0" customHeight="1">
      <c r="A33" s="82">
        <f t="shared" si="1"/>
        <v>14.7</v>
      </c>
      <c r="B33" s="82">
        <f t="shared" si="2"/>
        <v>15.75</v>
      </c>
      <c r="C33" s="82">
        <f t="shared" si="3"/>
        <v>2.1</v>
      </c>
      <c r="D33" s="84">
        <f t="shared" si="4"/>
        <v>93.5</v>
      </c>
      <c r="E33" s="84">
        <f t="shared" si="5"/>
        <v>43.5</v>
      </c>
      <c r="F33" s="84">
        <f t="shared" si="6"/>
        <v>717.7770833</v>
      </c>
      <c r="G33" s="87">
        <f t="shared" si="7"/>
        <v>10297.97708</v>
      </c>
      <c r="H33" s="87">
        <f t="shared" si="8"/>
        <v>77028.86858</v>
      </c>
      <c r="I33" s="88">
        <f t="shared" si="9"/>
        <v>0.6869134241</v>
      </c>
      <c r="J33" s="84">
        <f t="shared" si="10"/>
        <v>1.671154083</v>
      </c>
      <c r="K33" s="89">
        <f t="shared" si="11"/>
        <v>0.003723888349</v>
      </c>
      <c r="L33" s="84">
        <f t="shared" si="42"/>
        <v>741.2957642</v>
      </c>
      <c r="M33" s="84">
        <f t="shared" si="12"/>
        <v>6.462397185</v>
      </c>
      <c r="N33" s="89">
        <f t="shared" si="13"/>
        <v>0.01440037506</v>
      </c>
      <c r="O33" s="84">
        <f t="shared" si="43"/>
        <v>195.2041132</v>
      </c>
      <c r="P33" s="84">
        <f t="shared" si="14"/>
        <v>7.700960115</v>
      </c>
      <c r="Q33" s="89">
        <f t="shared" si="15"/>
        <v>0.01716030612</v>
      </c>
      <c r="R33" s="84">
        <f t="shared" si="44"/>
        <v>159.8637944</v>
      </c>
      <c r="S33" s="84">
        <f t="shared" si="16"/>
        <v>14.37692208</v>
      </c>
      <c r="T33" s="89">
        <f t="shared" si="17"/>
        <v>0.03203657469</v>
      </c>
      <c r="U33" s="84">
        <f t="shared" si="45"/>
        <v>87.30713414</v>
      </c>
      <c r="V33" s="84">
        <f t="shared" si="18"/>
        <v>22.97811344</v>
      </c>
      <c r="W33" s="89">
        <f t="shared" si="19"/>
        <v>0.05120289612</v>
      </c>
      <c r="X33" s="85">
        <f t="shared" si="46"/>
        <v>51.73768275</v>
      </c>
      <c r="Y33" s="86">
        <f t="shared" si="20"/>
        <v>16.52521408</v>
      </c>
      <c r="Z33" s="89">
        <f t="shared" si="21"/>
        <v>0.03682368536</v>
      </c>
      <c r="AA33" s="84">
        <f t="shared" si="47"/>
        <v>73.88322448</v>
      </c>
      <c r="AB33" s="84">
        <f t="shared" si="22"/>
        <v>30.09517112</v>
      </c>
      <c r="AC33" s="89">
        <f t="shared" si="23"/>
        <v>0.06706207298</v>
      </c>
      <c r="AD33" s="84">
        <f t="shared" si="48"/>
        <v>41.18868293</v>
      </c>
      <c r="AE33" s="86">
        <f t="shared" si="24"/>
        <v>33.42838399</v>
      </c>
      <c r="AF33" s="89">
        <f t="shared" si="25"/>
        <v>0.07448958233</v>
      </c>
      <c r="AG33" s="84">
        <f t="shared" si="49"/>
        <v>35.25330802</v>
      </c>
      <c r="AH33" s="84">
        <f t="shared" si="26"/>
        <v>62.38902234</v>
      </c>
      <c r="AI33" s="89">
        <f t="shared" si="27"/>
        <v>0.1390235381</v>
      </c>
      <c r="AJ33" s="85">
        <f t="shared" si="50"/>
        <v>19.24355462</v>
      </c>
      <c r="AK33" s="84">
        <f t="shared" si="28"/>
        <v>33.20140273</v>
      </c>
      <c r="AL33" s="89">
        <f t="shared" si="29"/>
        <v>0.07398379242</v>
      </c>
      <c r="AM33" s="84">
        <f t="shared" si="51"/>
        <v>37.51780604</v>
      </c>
      <c r="AN33" s="84">
        <f t="shared" si="30"/>
        <v>49.57982321</v>
      </c>
      <c r="AO33" s="89">
        <f t="shared" si="31"/>
        <v>0.1104803727</v>
      </c>
      <c r="AP33" s="84">
        <f t="shared" si="52"/>
        <v>23.16726475</v>
      </c>
      <c r="AQ33" s="86">
        <f t="shared" si="32"/>
        <v>73.48275505</v>
      </c>
      <c r="AR33" s="89">
        <f t="shared" si="33"/>
        <v>0.1637440725</v>
      </c>
      <c r="AS33" s="84">
        <f t="shared" si="53"/>
        <v>16.24692153</v>
      </c>
      <c r="AT33" s="84">
        <f t="shared" si="34"/>
        <v>146.7341373</v>
      </c>
      <c r="AU33" s="89">
        <f t="shared" si="35"/>
        <v>0.3269725693</v>
      </c>
      <c r="AV33" s="85">
        <f t="shared" si="54"/>
        <v>12.66399568</v>
      </c>
      <c r="AW33" s="84">
        <f t="shared" si="36"/>
        <v>210.1879274</v>
      </c>
      <c r="AX33" s="89">
        <f t="shared" si="37"/>
        <v>0.4683687649</v>
      </c>
      <c r="AY33" s="84">
        <f t="shared" si="55"/>
        <v>4.806062853</v>
      </c>
      <c r="AZ33" s="84">
        <f t="shared" si="38"/>
        <v>269.0732651</v>
      </c>
      <c r="BA33" s="89">
        <f t="shared" si="39"/>
        <v>0.5995849257</v>
      </c>
      <c r="BB33" s="84">
        <f t="shared" si="56"/>
        <v>3.771504648</v>
      </c>
      <c r="BC33" s="84">
        <f t="shared" si="40"/>
        <v>307.5446748</v>
      </c>
      <c r="BD33" s="89">
        <f t="shared" si="41"/>
        <v>0.6853120504</v>
      </c>
      <c r="BE33" s="84">
        <f t="shared" si="57"/>
        <v>3.678748745</v>
      </c>
    </row>
    <row r="34" ht="15.0" customHeight="1">
      <c r="A34" s="82">
        <f t="shared" si="1"/>
        <v>12.6</v>
      </c>
      <c r="B34" s="82">
        <f t="shared" si="2"/>
        <v>13.65</v>
      </c>
      <c r="C34" s="82">
        <f t="shared" si="3"/>
        <v>2.1</v>
      </c>
      <c r="D34" s="84">
        <f t="shared" si="4"/>
        <v>93</v>
      </c>
      <c r="E34" s="84">
        <f t="shared" si="5"/>
        <v>43</v>
      </c>
      <c r="F34" s="84">
        <f t="shared" si="6"/>
        <v>705.7895833</v>
      </c>
      <c r="G34" s="87">
        <f t="shared" si="7"/>
        <v>11003.76667</v>
      </c>
      <c r="H34" s="87">
        <f t="shared" si="8"/>
        <v>82308.17467</v>
      </c>
      <c r="I34" s="88">
        <f t="shared" si="9"/>
        <v>0.7339922179</v>
      </c>
      <c r="J34" s="84">
        <f t="shared" si="10"/>
        <v>1.656013556</v>
      </c>
      <c r="K34" s="89">
        <f t="shared" si="11"/>
        <v>0.003690150208</v>
      </c>
      <c r="L34" s="84">
        <f t="shared" si="42"/>
        <v>794.428442</v>
      </c>
      <c r="M34" s="84">
        <f t="shared" si="12"/>
        <v>6.433608536</v>
      </c>
      <c r="N34" s="89">
        <f t="shared" si="13"/>
        <v>0.01433622435</v>
      </c>
      <c r="O34" s="84">
        <f t="shared" si="43"/>
        <v>208.8804869</v>
      </c>
      <c r="P34" s="84">
        <f t="shared" si="14"/>
        <v>7.618969072</v>
      </c>
      <c r="Q34" s="89">
        <f t="shared" si="15"/>
        <v>0.01697760275</v>
      </c>
      <c r="R34" s="84">
        <f t="shared" si="44"/>
        <v>171.4123955</v>
      </c>
      <c r="S34" s="84">
        <f t="shared" si="16"/>
        <v>14.29465861</v>
      </c>
      <c r="T34" s="89">
        <f t="shared" si="17"/>
        <v>0.03185326426</v>
      </c>
      <c r="U34" s="84">
        <f t="shared" si="45"/>
        <v>93.4624707</v>
      </c>
      <c r="V34" s="84">
        <f t="shared" si="18"/>
        <v>22.52943952</v>
      </c>
      <c r="W34" s="89">
        <f t="shared" si="19"/>
        <v>0.05020310107</v>
      </c>
      <c r="X34" s="85">
        <f t="shared" si="46"/>
        <v>55.64316982</v>
      </c>
      <c r="Y34" s="86">
        <f t="shared" si="20"/>
        <v>16.31444962</v>
      </c>
      <c r="Z34" s="89">
        <f t="shared" si="21"/>
        <v>0.03635403189</v>
      </c>
      <c r="AA34" s="84">
        <f t="shared" si="47"/>
        <v>79.27650693</v>
      </c>
      <c r="AB34" s="84">
        <f t="shared" si="22"/>
        <v>29.82720595</v>
      </c>
      <c r="AC34" s="89">
        <f t="shared" si="23"/>
        <v>0.06646495725</v>
      </c>
      <c r="AD34" s="84">
        <f t="shared" si="48"/>
        <v>44.13862181</v>
      </c>
      <c r="AE34" s="86">
        <f t="shared" si="24"/>
        <v>32.70116681</v>
      </c>
      <c r="AF34" s="89">
        <f t="shared" si="25"/>
        <v>0.07286910005</v>
      </c>
      <c r="AG34" s="84">
        <f t="shared" si="49"/>
        <v>37.94398983</v>
      </c>
      <c r="AH34" s="84">
        <f t="shared" si="26"/>
        <v>61.32681797</v>
      </c>
      <c r="AI34" s="89">
        <f t="shared" si="27"/>
        <v>0.1366565927</v>
      </c>
      <c r="AJ34" s="85">
        <f t="shared" si="50"/>
        <v>20.67830107</v>
      </c>
      <c r="AK34" s="84">
        <f t="shared" si="28"/>
        <v>32.98215168</v>
      </c>
      <c r="AL34" s="89">
        <f t="shared" si="29"/>
        <v>0.07349522799</v>
      </c>
      <c r="AM34" s="84">
        <f t="shared" si="51"/>
        <v>40.23475249</v>
      </c>
      <c r="AN34" s="84">
        <f t="shared" si="30"/>
        <v>49.21296116</v>
      </c>
      <c r="AO34" s="89">
        <f t="shared" si="31"/>
        <v>0.1096628818</v>
      </c>
      <c r="AP34" s="84">
        <f t="shared" si="52"/>
        <v>24.85794171</v>
      </c>
      <c r="AQ34" s="86">
        <f t="shared" si="32"/>
        <v>72.70455598</v>
      </c>
      <c r="AR34" s="89">
        <f t="shared" si="33"/>
        <v>0.1620099856</v>
      </c>
      <c r="AS34" s="84">
        <f t="shared" si="53"/>
        <v>17.40190302</v>
      </c>
      <c r="AT34" s="84">
        <f t="shared" si="34"/>
        <v>143.7578546</v>
      </c>
      <c r="AU34" s="89">
        <f t="shared" si="35"/>
        <v>0.3203404193</v>
      </c>
      <c r="AV34" s="85">
        <f t="shared" si="54"/>
        <v>13.63298144</v>
      </c>
      <c r="AW34" s="84">
        <f t="shared" si="36"/>
        <v>197.3587901</v>
      </c>
      <c r="AX34" s="89">
        <f t="shared" si="37"/>
        <v>0.4397811705</v>
      </c>
      <c r="AY34" s="84">
        <f t="shared" si="55"/>
        <v>5.251892678</v>
      </c>
      <c r="AZ34" s="84">
        <f t="shared" si="38"/>
        <v>258.2943413</v>
      </c>
      <c r="BA34" s="89">
        <f t="shared" si="39"/>
        <v>0.5755658906</v>
      </c>
      <c r="BB34" s="84">
        <f t="shared" si="56"/>
        <v>4.112156458</v>
      </c>
      <c r="BC34" s="84">
        <f t="shared" si="40"/>
        <v>297.6638257</v>
      </c>
      <c r="BD34" s="89">
        <f t="shared" si="41"/>
        <v>0.663294225</v>
      </c>
      <c r="BE34" s="84">
        <f t="shared" si="57"/>
        <v>3.974345411</v>
      </c>
    </row>
    <row r="35" ht="15.0" customHeight="1">
      <c r="A35" s="82">
        <f t="shared" si="1"/>
        <v>10.5</v>
      </c>
      <c r="B35" s="82">
        <f t="shared" si="2"/>
        <v>11.55</v>
      </c>
      <c r="C35" s="82">
        <f t="shared" si="3"/>
        <v>2.1</v>
      </c>
      <c r="D35" s="84">
        <f t="shared" si="4"/>
        <v>92.5</v>
      </c>
      <c r="E35" s="84">
        <f t="shared" si="5"/>
        <v>42.5</v>
      </c>
      <c r="F35" s="84">
        <f t="shared" si="6"/>
        <v>693.8895833</v>
      </c>
      <c r="G35" s="87">
        <f t="shared" si="7"/>
        <v>11697.65625</v>
      </c>
      <c r="H35" s="87">
        <f t="shared" si="8"/>
        <v>87498.46875</v>
      </c>
      <c r="I35" s="88">
        <f t="shared" si="9"/>
        <v>0.7802772374</v>
      </c>
      <c r="J35" s="84">
        <f t="shared" si="10"/>
        <v>1.638512146</v>
      </c>
      <c r="K35" s="89">
        <f t="shared" si="11"/>
        <v>0.003651151233</v>
      </c>
      <c r="L35" s="84">
        <f t="shared" si="42"/>
        <v>847.22323</v>
      </c>
      <c r="M35" s="84">
        <f t="shared" si="12"/>
        <v>6.400163241</v>
      </c>
      <c r="N35" s="89">
        <f t="shared" si="13"/>
        <v>0.01426169709</v>
      </c>
      <c r="O35" s="84">
        <f t="shared" si="43"/>
        <v>222.396533</v>
      </c>
      <c r="P35" s="84">
        <f t="shared" si="14"/>
        <v>7.524357483</v>
      </c>
      <c r="Q35" s="89">
        <f t="shared" si="15"/>
        <v>0.01676677659</v>
      </c>
      <c r="R35" s="84">
        <f t="shared" si="44"/>
        <v>182.9090451</v>
      </c>
      <c r="S35" s="84">
        <f t="shared" si="16"/>
        <v>14.19922059</v>
      </c>
      <c r="T35" s="89">
        <f t="shared" si="17"/>
        <v>0.03164059654</v>
      </c>
      <c r="U35" s="84">
        <f t="shared" si="45"/>
        <v>99.55469956</v>
      </c>
      <c r="V35" s="84">
        <f t="shared" si="18"/>
        <v>22.01673452</v>
      </c>
      <c r="W35" s="89">
        <f t="shared" si="19"/>
        <v>0.04906062343</v>
      </c>
      <c r="X35" s="85">
        <f t="shared" si="46"/>
        <v>59.57222212</v>
      </c>
      <c r="Y35" s="86">
        <f t="shared" si="20"/>
        <v>16.07180418</v>
      </c>
      <c r="Z35" s="89">
        <f t="shared" si="21"/>
        <v>0.03581333697</v>
      </c>
      <c r="AA35" s="84">
        <f t="shared" si="47"/>
        <v>84.65890833</v>
      </c>
      <c r="AB35" s="84">
        <f t="shared" si="22"/>
        <v>29.51740378</v>
      </c>
      <c r="AC35" s="89">
        <f t="shared" si="23"/>
        <v>0.06577461475</v>
      </c>
      <c r="AD35" s="84">
        <f t="shared" si="48"/>
        <v>47.06926239</v>
      </c>
      <c r="AE35" s="86">
        <f t="shared" si="24"/>
        <v>31.87221244</v>
      </c>
      <c r="AF35" s="89">
        <f t="shared" si="25"/>
        <v>0.07102191339</v>
      </c>
      <c r="AG35" s="84">
        <f t="shared" si="49"/>
        <v>40.65810644</v>
      </c>
      <c r="AH35" s="84">
        <f t="shared" si="26"/>
        <v>60.10967104</v>
      </c>
      <c r="AI35" s="89">
        <f t="shared" si="27"/>
        <v>0.1339443836</v>
      </c>
      <c r="AJ35" s="85">
        <f t="shared" si="50"/>
        <v>22.11741894</v>
      </c>
      <c r="AK35" s="84">
        <f t="shared" si="28"/>
        <v>32.72803182</v>
      </c>
      <c r="AL35" s="89">
        <f t="shared" si="29"/>
        <v>0.07292896424</v>
      </c>
      <c r="AM35" s="84">
        <f t="shared" si="51"/>
        <v>42.94105861</v>
      </c>
      <c r="AN35" s="84">
        <f t="shared" si="30"/>
        <v>48.78812387</v>
      </c>
      <c r="AO35" s="89">
        <f t="shared" si="31"/>
        <v>0.1087162027</v>
      </c>
      <c r="AP35" s="84">
        <f t="shared" si="52"/>
        <v>26.54509496</v>
      </c>
      <c r="AQ35" s="86">
        <f t="shared" si="32"/>
        <v>71.80651621</v>
      </c>
      <c r="AR35" s="89">
        <f t="shared" si="33"/>
        <v>0.1600088536</v>
      </c>
      <c r="AS35" s="84">
        <f t="shared" si="53"/>
        <v>18.54729866</v>
      </c>
      <c r="AT35" s="84">
        <f t="shared" si="34"/>
        <v>140.3596664</v>
      </c>
      <c r="AU35" s="89">
        <f t="shared" si="35"/>
        <v>0.3127681232</v>
      </c>
      <c r="AV35" s="85">
        <f t="shared" si="54"/>
        <v>14.61099468</v>
      </c>
      <c r="AW35" s="84">
        <f t="shared" si="36"/>
        <v>183.3694259</v>
      </c>
      <c r="AX35" s="89">
        <f t="shared" si="37"/>
        <v>0.4086082041</v>
      </c>
      <c r="AY35" s="84">
        <f t="shared" si="55"/>
        <v>5.723644721</v>
      </c>
      <c r="AZ35" s="84">
        <f t="shared" si="38"/>
        <v>246.2561958</v>
      </c>
      <c r="BA35" s="89">
        <f t="shared" si="39"/>
        <v>0.5487408897</v>
      </c>
      <c r="BB35" s="84">
        <f t="shared" si="56"/>
        <v>4.463436559</v>
      </c>
      <c r="BC35" s="84">
        <f t="shared" si="40"/>
        <v>286.5299322</v>
      </c>
      <c r="BD35" s="89">
        <f t="shared" si="41"/>
        <v>0.6384841989</v>
      </c>
      <c r="BE35" s="84">
        <f t="shared" si="57"/>
        <v>4.276250698</v>
      </c>
    </row>
    <row r="36" ht="15.0" customHeight="1">
      <c r="A36" s="82">
        <f t="shared" si="1"/>
        <v>8.4</v>
      </c>
      <c r="B36" s="82">
        <f t="shared" si="2"/>
        <v>9.45</v>
      </c>
      <c r="C36" s="82">
        <f t="shared" si="3"/>
        <v>2.1</v>
      </c>
      <c r="D36" s="84">
        <f t="shared" si="4"/>
        <v>92</v>
      </c>
      <c r="E36" s="84">
        <f t="shared" si="5"/>
        <v>42</v>
      </c>
      <c r="F36" s="84">
        <f t="shared" si="6"/>
        <v>682.0770833</v>
      </c>
      <c r="G36" s="87">
        <f t="shared" si="7"/>
        <v>12379.73333</v>
      </c>
      <c r="H36" s="87">
        <f t="shared" si="8"/>
        <v>92600.40533</v>
      </c>
      <c r="I36" s="90">
        <f t="shared" si="9"/>
        <v>0.8257743191</v>
      </c>
      <c r="J36" s="84">
        <f t="shared" si="10"/>
        <v>1.617733258</v>
      </c>
      <c r="K36" s="89">
        <f t="shared" si="11"/>
        <v>0.003604848943</v>
      </c>
      <c r="L36" s="84">
        <f t="shared" si="42"/>
        <v>899.7858363</v>
      </c>
      <c r="M36" s="84">
        <f t="shared" si="12"/>
        <v>6.360217474</v>
      </c>
      <c r="N36" s="89">
        <f t="shared" si="13"/>
        <v>0.0141726846</v>
      </c>
      <c r="O36" s="84">
        <f t="shared" si="43"/>
        <v>235.7659307</v>
      </c>
      <c r="P36" s="84">
        <f t="shared" si="14"/>
        <v>7.412259026</v>
      </c>
      <c r="Q36" s="89">
        <f t="shared" si="15"/>
        <v>0.01651698386</v>
      </c>
      <c r="R36" s="84">
        <f t="shared" si="44"/>
        <v>194.3808887</v>
      </c>
      <c r="S36" s="84">
        <f t="shared" si="16"/>
        <v>14.08541944</v>
      </c>
      <c r="T36" s="89">
        <f t="shared" si="17"/>
        <v>0.03138700965</v>
      </c>
      <c r="U36" s="84">
        <f t="shared" si="45"/>
        <v>105.5916001</v>
      </c>
      <c r="V36" s="84">
        <f t="shared" si="18"/>
        <v>21.41625906</v>
      </c>
      <c r="W36" s="89">
        <f t="shared" si="19"/>
        <v>0.04772256393</v>
      </c>
      <c r="X36" s="85">
        <f t="shared" si="46"/>
        <v>63.54267635</v>
      </c>
      <c r="Y36" s="86">
        <f t="shared" si="20"/>
        <v>15.78509723</v>
      </c>
      <c r="Z36" s="89">
        <f t="shared" si="21"/>
        <v>0.03517445833</v>
      </c>
      <c r="AA36" s="84">
        <f t="shared" si="47"/>
        <v>90.04577894</v>
      </c>
      <c r="AB36" s="84">
        <f t="shared" si="22"/>
        <v>29.14951077</v>
      </c>
      <c r="AC36" s="89">
        <f t="shared" si="23"/>
        <v>0.0649548265</v>
      </c>
      <c r="AD36" s="84">
        <f t="shared" si="48"/>
        <v>49.98637058</v>
      </c>
      <c r="AE36" s="86">
        <f t="shared" si="24"/>
        <v>30.90418034</v>
      </c>
      <c r="AF36" s="89">
        <f t="shared" si="25"/>
        <v>0.06886481519</v>
      </c>
      <c r="AG36" s="84">
        <f t="shared" si="49"/>
        <v>43.40958781</v>
      </c>
      <c r="AH36" s="84">
        <f t="shared" si="26"/>
        <v>58.67948994</v>
      </c>
      <c r="AI36" s="89">
        <f t="shared" si="27"/>
        <v>0.1307574634</v>
      </c>
      <c r="AJ36" s="85">
        <f t="shared" si="50"/>
        <v>23.566516</v>
      </c>
      <c r="AK36" s="84">
        <f t="shared" si="28"/>
        <v>32.42536217</v>
      </c>
      <c r="AL36" s="89">
        <f t="shared" si="29"/>
        <v>0.07225451537</v>
      </c>
      <c r="AM36" s="84">
        <f t="shared" si="51"/>
        <v>45.64342274</v>
      </c>
      <c r="AN36" s="84">
        <f t="shared" si="30"/>
        <v>48.2826417</v>
      </c>
      <c r="AO36" s="89">
        <f t="shared" si="31"/>
        <v>0.1075898199</v>
      </c>
      <c r="AP36" s="84">
        <f t="shared" si="52"/>
        <v>28.23351358</v>
      </c>
      <c r="AQ36" s="86">
        <f t="shared" si="32"/>
        <v>70.74241534</v>
      </c>
      <c r="AR36" s="89">
        <f t="shared" si="33"/>
        <v>0.1576376822</v>
      </c>
      <c r="AS36" s="84">
        <f t="shared" si="53"/>
        <v>19.68498282</v>
      </c>
      <c r="AT36" s="84">
        <f t="shared" si="34"/>
        <v>136.3836855</v>
      </c>
      <c r="AU36" s="89">
        <f t="shared" si="35"/>
        <v>0.3039083124</v>
      </c>
      <c r="AV36" s="85">
        <f t="shared" si="54"/>
        <v>15.60318857</v>
      </c>
      <c r="AW36" s="84">
        <f t="shared" si="36"/>
        <v>167.8696299</v>
      </c>
      <c r="AX36" s="89">
        <f t="shared" si="37"/>
        <v>0.3740694921</v>
      </c>
      <c r="AY36" s="84">
        <f t="shared" si="55"/>
        <v>6.230182303</v>
      </c>
      <c r="AZ36" s="84">
        <f t="shared" si="38"/>
        <v>232.5350166</v>
      </c>
      <c r="BA36" s="89">
        <f t="shared" si="39"/>
        <v>0.5181655287</v>
      </c>
      <c r="BB36" s="84">
        <f t="shared" si="56"/>
        <v>4.829111706</v>
      </c>
      <c r="BC36" s="84">
        <f t="shared" si="40"/>
        <v>273.7047453</v>
      </c>
      <c r="BD36" s="89">
        <f t="shared" si="41"/>
        <v>0.6099054074</v>
      </c>
      <c r="BE36" s="84">
        <f t="shared" si="57"/>
        <v>4.586922244</v>
      </c>
    </row>
    <row r="37" ht="15.0" customHeight="1">
      <c r="A37" s="82">
        <f t="shared" si="1"/>
        <v>6.3</v>
      </c>
      <c r="B37" s="82">
        <f t="shared" si="2"/>
        <v>7.35</v>
      </c>
      <c r="C37" s="82">
        <f t="shared" si="3"/>
        <v>2.1</v>
      </c>
      <c r="D37" s="84">
        <f t="shared" si="4"/>
        <v>91.5</v>
      </c>
      <c r="E37" s="84">
        <f t="shared" si="5"/>
        <v>41.5</v>
      </c>
      <c r="F37" s="84">
        <f t="shared" si="6"/>
        <v>670.3520833</v>
      </c>
      <c r="G37" s="87">
        <f t="shared" si="7"/>
        <v>13050.08542</v>
      </c>
      <c r="H37" s="91">
        <f t="shared" si="8"/>
        <v>97614.63892</v>
      </c>
      <c r="I37" s="88">
        <f t="shared" si="9"/>
        <v>0.8704892996</v>
      </c>
      <c r="J37" s="84">
        <f t="shared" si="10"/>
        <v>1.59208161</v>
      </c>
      <c r="K37" s="89">
        <f t="shared" si="11"/>
        <v>0.00354768852</v>
      </c>
      <c r="L37" s="84">
        <f t="shared" si="42"/>
        <v>952.2772157</v>
      </c>
      <c r="M37" s="84">
        <f t="shared" si="12"/>
        <v>6.310541952</v>
      </c>
      <c r="N37" s="89">
        <f t="shared" si="13"/>
        <v>0.01406199098</v>
      </c>
      <c r="O37" s="84">
        <f t="shared" si="43"/>
        <v>249.008939</v>
      </c>
      <c r="P37" s="84">
        <f t="shared" si="14"/>
        <v>7.274222507</v>
      </c>
      <c r="Q37" s="89">
        <f t="shared" si="15"/>
        <v>0.01620939249</v>
      </c>
      <c r="R37" s="84">
        <f t="shared" si="44"/>
        <v>205.8694787</v>
      </c>
      <c r="S37" s="84">
        <f t="shared" si="16"/>
        <v>13.94418355</v>
      </c>
      <c r="T37" s="89">
        <f t="shared" si="17"/>
        <v>0.031072289</v>
      </c>
      <c r="U37" s="84">
        <f t="shared" si="45"/>
        <v>111.5848201</v>
      </c>
      <c r="V37" s="84">
        <f t="shared" si="18"/>
        <v>20.68728529</v>
      </c>
      <c r="W37" s="89">
        <f t="shared" si="19"/>
        <v>0.04609816738</v>
      </c>
      <c r="X37" s="85">
        <f t="shared" si="46"/>
        <v>67.5823828</v>
      </c>
      <c r="Y37" s="86">
        <f t="shared" si="20"/>
        <v>15.43323618</v>
      </c>
      <c r="Z37" s="89">
        <f t="shared" si="21"/>
        <v>0.03439039463</v>
      </c>
      <c r="AA37" s="84">
        <f t="shared" si="47"/>
        <v>95.4607521</v>
      </c>
      <c r="AB37" s="84">
        <f t="shared" si="22"/>
        <v>28.69523203</v>
      </c>
      <c r="AC37" s="89">
        <f t="shared" si="23"/>
        <v>0.06394254205</v>
      </c>
      <c r="AD37" s="84">
        <f t="shared" si="48"/>
        <v>52.8987206</v>
      </c>
      <c r="AE37" s="86">
        <f t="shared" si="24"/>
        <v>29.73320496</v>
      </c>
      <c r="AF37" s="89">
        <f t="shared" si="25"/>
        <v>0.06625549171</v>
      </c>
      <c r="AG37" s="84">
        <f t="shared" si="49"/>
        <v>46.220269</v>
      </c>
      <c r="AH37" s="84">
        <f t="shared" si="26"/>
        <v>56.93626758</v>
      </c>
      <c r="AI37" s="89">
        <f t="shared" si="27"/>
        <v>0.1268729829</v>
      </c>
      <c r="AJ37" s="85">
        <f t="shared" si="50"/>
        <v>25.03430732</v>
      </c>
      <c r="AK37" s="84">
        <f t="shared" si="28"/>
        <v>32.05025186</v>
      </c>
      <c r="AL37" s="89">
        <f t="shared" si="29"/>
        <v>0.07141864456</v>
      </c>
      <c r="AM37" s="84">
        <f t="shared" si="51"/>
        <v>48.35211325</v>
      </c>
      <c r="AN37" s="84">
        <f t="shared" si="30"/>
        <v>47.65696989</v>
      </c>
      <c r="AO37" s="89">
        <f t="shared" si="31"/>
        <v>0.1061956146</v>
      </c>
      <c r="AP37" s="84">
        <f t="shared" si="52"/>
        <v>29.93056984</v>
      </c>
      <c r="AQ37" s="86">
        <f t="shared" si="32"/>
        <v>69.4319776</v>
      </c>
      <c r="AR37" s="89">
        <f t="shared" si="33"/>
        <v>0.1547175901</v>
      </c>
      <c r="AS37" s="84">
        <f t="shared" si="53"/>
        <v>20.81778954</v>
      </c>
      <c r="AT37" s="84">
        <f t="shared" si="34"/>
        <v>131.5627474</v>
      </c>
      <c r="AU37" s="89">
        <f t="shared" si="35"/>
        <v>0.2931656554</v>
      </c>
      <c r="AV37" s="85">
        <f t="shared" si="54"/>
        <v>16.61764753</v>
      </c>
      <c r="AW37" s="84">
        <f t="shared" si="36"/>
        <v>150.2926188</v>
      </c>
      <c r="AX37" s="89">
        <f t="shared" si="37"/>
        <v>0.3349020523</v>
      </c>
      <c r="AY37" s="84">
        <f t="shared" si="55"/>
        <v>6.786234625</v>
      </c>
      <c r="AZ37" s="84">
        <f t="shared" si="38"/>
        <v>216.4241827</v>
      </c>
      <c r="BA37" s="89">
        <f t="shared" si="39"/>
        <v>0.4822652204</v>
      </c>
      <c r="BB37" s="84">
        <f t="shared" si="56"/>
        <v>5.215254135</v>
      </c>
      <c r="BC37" s="84">
        <f t="shared" si="40"/>
        <v>258.4494183</v>
      </c>
      <c r="BD37" s="89">
        <f t="shared" si="41"/>
        <v>0.5759114537</v>
      </c>
      <c r="BE37" s="84">
        <f t="shared" si="57"/>
        <v>4.910275883</v>
      </c>
    </row>
    <row r="38" ht="15.0" customHeight="1">
      <c r="A38" s="54">
        <f t="shared" si="1"/>
        <v>4.2</v>
      </c>
      <c r="B38" s="54">
        <f t="shared" si="2"/>
        <v>5.25</v>
      </c>
      <c r="C38" s="54">
        <f t="shared" si="3"/>
        <v>2.1</v>
      </c>
      <c r="D38" s="92">
        <f t="shared" si="4"/>
        <v>91</v>
      </c>
      <c r="E38" s="92">
        <f t="shared" si="5"/>
        <v>41</v>
      </c>
      <c r="F38" s="92">
        <f t="shared" si="6"/>
        <v>658.7145833</v>
      </c>
      <c r="G38" s="93">
        <f t="shared" si="7"/>
        <v>13708.8</v>
      </c>
      <c r="H38" s="94">
        <f t="shared" si="8"/>
        <v>102541.824</v>
      </c>
      <c r="I38" s="95">
        <f t="shared" si="9"/>
        <v>0.9144280156</v>
      </c>
      <c r="J38" s="92">
        <f t="shared" si="10"/>
        <v>1.558373601</v>
      </c>
      <c r="K38" s="96">
        <f t="shared" si="11"/>
        <v>0.003472575841</v>
      </c>
      <c r="L38" s="97">
        <f t="shared" si="42"/>
        <v>1004.973021</v>
      </c>
      <c r="M38" s="92">
        <f t="shared" si="12"/>
        <v>6.244640818</v>
      </c>
      <c r="N38" s="96">
        <f t="shared" si="13"/>
        <v>0.01391514129</v>
      </c>
      <c r="O38" s="97">
        <f t="shared" si="43"/>
        <v>262.1593753</v>
      </c>
      <c r="P38" s="92">
        <f t="shared" si="14"/>
        <v>7.093428642</v>
      </c>
      <c r="Q38" s="96">
        <f t="shared" si="15"/>
        <v>0.01580652349</v>
      </c>
      <c r="R38" s="97">
        <f t="shared" si="44"/>
        <v>217.4463558</v>
      </c>
      <c r="S38" s="92">
        <f t="shared" si="16"/>
        <v>13.75730471</v>
      </c>
      <c r="T38" s="96">
        <f t="shared" si="17"/>
        <v>0.03065586066</v>
      </c>
      <c r="U38" s="97">
        <f t="shared" si="45"/>
        <v>117.5539945</v>
      </c>
      <c r="V38" s="92">
        <f t="shared" si="18"/>
        <v>19.7499982</v>
      </c>
      <c r="W38" s="96">
        <f t="shared" si="19"/>
        <v>0.04400957932</v>
      </c>
      <c r="X38" s="98">
        <f t="shared" si="46"/>
        <v>71.74034527</v>
      </c>
      <c r="Y38" s="92">
        <f t="shared" si="20"/>
        <v>14.97439613</v>
      </c>
      <c r="Z38" s="96">
        <f t="shared" si="21"/>
        <v>0.03336794604</v>
      </c>
      <c r="AA38" s="97">
        <f t="shared" si="47"/>
        <v>100.944763</v>
      </c>
      <c r="AB38" s="92">
        <f t="shared" si="22"/>
        <v>28.09808608</v>
      </c>
      <c r="AC38" s="96">
        <f t="shared" si="23"/>
        <v>0.06261190181</v>
      </c>
      <c r="AD38" s="97">
        <f t="shared" si="48"/>
        <v>55.82133075</v>
      </c>
      <c r="AE38" s="92">
        <f t="shared" si="24"/>
        <v>28.23461339</v>
      </c>
      <c r="AF38" s="96">
        <f t="shared" si="25"/>
        <v>0.06291613017</v>
      </c>
      <c r="AG38" s="97">
        <f t="shared" si="49"/>
        <v>49.12874698</v>
      </c>
      <c r="AH38" s="92">
        <f t="shared" si="26"/>
        <v>54.68316329</v>
      </c>
      <c r="AI38" s="96">
        <f t="shared" si="27"/>
        <v>0.1218523155</v>
      </c>
      <c r="AJ38" s="98">
        <f t="shared" si="50"/>
        <v>26.53604472</v>
      </c>
      <c r="AK38" s="84">
        <f t="shared" si="28"/>
        <v>31.55482083</v>
      </c>
      <c r="AL38" s="96">
        <f t="shared" si="29"/>
        <v>0.07031465909</v>
      </c>
      <c r="AM38" s="97">
        <f t="shared" si="51"/>
        <v>51.08483571</v>
      </c>
      <c r="AN38" s="84">
        <f t="shared" si="30"/>
        <v>46.83196502</v>
      </c>
      <c r="AO38" s="96">
        <f t="shared" si="31"/>
        <v>0.1043572287</v>
      </c>
      <c r="AP38" s="97">
        <f t="shared" si="52"/>
        <v>31.64903127</v>
      </c>
      <c r="AQ38" s="86">
        <f t="shared" si="32"/>
        <v>67.71542513</v>
      </c>
      <c r="AR38" s="96">
        <f t="shared" si="33"/>
        <v>0.150892539</v>
      </c>
      <c r="AS38" s="97">
        <f t="shared" si="53"/>
        <v>21.95053981</v>
      </c>
      <c r="AT38" s="84">
        <f t="shared" si="34"/>
        <v>125.3739761</v>
      </c>
      <c r="AU38" s="96">
        <f t="shared" si="35"/>
        <v>0.2793750101</v>
      </c>
      <c r="AV38" s="98">
        <f t="shared" si="54"/>
        <v>17.66867661</v>
      </c>
      <c r="AW38" s="92">
        <f t="shared" si="36"/>
        <v>129.6064764</v>
      </c>
      <c r="AX38" s="96">
        <f t="shared" si="37"/>
        <v>0.2888064315</v>
      </c>
      <c r="AY38" s="97">
        <f t="shared" si="55"/>
        <v>7.419843019</v>
      </c>
      <c r="AZ38" s="92">
        <f t="shared" si="38"/>
        <v>196.5880009</v>
      </c>
      <c r="BA38" s="96">
        <f t="shared" si="39"/>
        <v>0.4380635953</v>
      </c>
      <c r="BB38" s="97">
        <f t="shared" si="56"/>
        <v>5.632979282</v>
      </c>
      <c r="BC38" s="92">
        <f t="shared" si="40"/>
        <v>239.3476354</v>
      </c>
      <c r="BD38" s="96">
        <f t="shared" si="41"/>
        <v>0.5333463142</v>
      </c>
      <c r="BE38" s="97">
        <f t="shared" si="57"/>
        <v>5.253374118</v>
      </c>
    </row>
    <row r="39" ht="15.0" customHeight="1">
      <c r="A39" s="99">
        <f t="shared" si="1"/>
        <v>2.1</v>
      </c>
      <c r="B39" s="99">
        <f t="shared" si="2"/>
        <v>3.15</v>
      </c>
      <c r="C39" s="99">
        <f t="shared" si="3"/>
        <v>2.1</v>
      </c>
      <c r="D39" s="100">
        <f t="shared" si="4"/>
        <v>90.5</v>
      </c>
      <c r="E39" s="100">
        <f t="shared" si="5"/>
        <v>40.5</v>
      </c>
      <c r="F39" s="100">
        <f t="shared" si="6"/>
        <v>647.1645833</v>
      </c>
      <c r="G39" s="101">
        <f t="shared" si="7"/>
        <v>14355.96458</v>
      </c>
      <c r="H39" s="102">
        <f t="shared" si="8"/>
        <v>107382.6151</v>
      </c>
      <c r="I39" s="103">
        <f t="shared" si="9"/>
        <v>0.9575963035</v>
      </c>
      <c r="J39" s="84">
        <f t="shared" si="10"/>
        <v>1.508557965</v>
      </c>
      <c r="K39" s="89">
        <f t="shared" si="11"/>
        <v>0.003361569999</v>
      </c>
      <c r="L39" s="84">
        <f t="shared" si="42"/>
        <v>1058.45446</v>
      </c>
      <c r="M39" s="84">
        <f t="shared" si="12"/>
        <v>6.145904146</v>
      </c>
      <c r="N39" s="104">
        <f t="shared" si="13"/>
        <v>0.01369512307</v>
      </c>
      <c r="O39" s="84">
        <f t="shared" si="43"/>
        <v>275.2867931</v>
      </c>
      <c r="P39" s="84">
        <f t="shared" si="14"/>
        <v>6.827503285</v>
      </c>
      <c r="Q39" s="89">
        <f t="shared" si="15"/>
        <v>0.01521395315</v>
      </c>
      <c r="R39" s="84">
        <f t="shared" si="44"/>
        <v>229.2632452</v>
      </c>
      <c r="S39" s="84">
        <f t="shared" si="16"/>
        <v>13.47836527</v>
      </c>
      <c r="T39" s="89">
        <f t="shared" si="17"/>
        <v>0.0300342906</v>
      </c>
      <c r="U39" s="84">
        <f t="shared" si="45"/>
        <v>123.5398726</v>
      </c>
      <c r="V39" s="84">
        <f t="shared" si="18"/>
        <v>18.4075633</v>
      </c>
      <c r="W39" s="89">
        <f t="shared" si="19"/>
        <v>0.04101818689</v>
      </c>
      <c r="X39" s="85">
        <f t="shared" si="46"/>
        <v>76.12331819</v>
      </c>
      <c r="Y39" s="86">
        <f t="shared" si="20"/>
        <v>14.30373597</v>
      </c>
      <c r="Z39" s="89">
        <f t="shared" si="21"/>
        <v>0.03187349164</v>
      </c>
      <c r="AA39" s="84">
        <f t="shared" si="47"/>
        <v>106.585237</v>
      </c>
      <c r="AB39" s="84">
        <f t="shared" si="22"/>
        <v>27.21517879</v>
      </c>
      <c r="AC39" s="89">
        <f t="shared" si="23"/>
        <v>0.06064449007</v>
      </c>
      <c r="AD39" s="84">
        <f t="shared" si="48"/>
        <v>58.78584742</v>
      </c>
      <c r="AE39" s="86">
        <f t="shared" si="24"/>
        <v>26.10259546</v>
      </c>
      <c r="AF39" s="89">
        <f t="shared" si="25"/>
        <v>0.05816528354</v>
      </c>
      <c r="AG39" s="84">
        <f t="shared" si="49"/>
        <v>52.21962166</v>
      </c>
      <c r="AH39" s="84">
        <f t="shared" si="26"/>
        <v>51.43180659</v>
      </c>
      <c r="AI39" s="89">
        <f t="shared" si="27"/>
        <v>0.114607209</v>
      </c>
      <c r="AJ39" s="85">
        <f t="shared" si="50"/>
        <v>28.10472093</v>
      </c>
      <c r="AK39" s="84">
        <f t="shared" si="28"/>
        <v>30.81726703</v>
      </c>
      <c r="AL39" s="89">
        <f t="shared" si="29"/>
        <v>0.06867114336</v>
      </c>
      <c r="AM39" s="84">
        <f t="shared" si="51"/>
        <v>53.87920466</v>
      </c>
      <c r="AN39" s="84">
        <f t="shared" si="30"/>
        <v>45.60667709</v>
      </c>
      <c r="AO39" s="89">
        <f t="shared" si="31"/>
        <v>0.1016268788</v>
      </c>
      <c r="AP39" s="84">
        <f t="shared" si="52"/>
        <v>33.41616065</v>
      </c>
      <c r="AQ39" s="86">
        <f t="shared" si="32"/>
        <v>65.19016232</v>
      </c>
      <c r="AR39" s="89">
        <f t="shared" si="33"/>
        <v>0.1452654117</v>
      </c>
      <c r="AS39" s="84">
        <f t="shared" si="53"/>
        <v>23.09332759</v>
      </c>
      <c r="AT39" s="84">
        <f t="shared" si="34"/>
        <v>116.5302447</v>
      </c>
      <c r="AU39" s="89">
        <f t="shared" si="35"/>
        <v>0.2596682286</v>
      </c>
      <c r="AV39" s="85">
        <f t="shared" si="54"/>
        <v>18.78767382</v>
      </c>
      <c r="AW39" s="100">
        <f t="shared" si="36"/>
        <v>103.5120879</v>
      </c>
      <c r="AX39" s="104">
        <f t="shared" si="37"/>
        <v>0.230659436</v>
      </c>
      <c r="AY39" s="100">
        <f t="shared" si="55"/>
        <v>8.199267461</v>
      </c>
      <c r="AZ39" s="100">
        <f t="shared" si="38"/>
        <v>169.8927392</v>
      </c>
      <c r="BA39" s="104">
        <f t="shared" si="39"/>
        <v>0.3785776538</v>
      </c>
      <c r="BB39" s="100">
        <f t="shared" si="56"/>
        <v>6.107866271</v>
      </c>
      <c r="BC39" s="100">
        <f t="shared" si="40"/>
        <v>213.011601</v>
      </c>
      <c r="BD39" s="104">
        <f t="shared" si="41"/>
        <v>0.4746608509</v>
      </c>
      <c r="BE39" s="100">
        <f t="shared" si="57"/>
        <v>5.632132134</v>
      </c>
    </row>
    <row r="40" ht="15.0" customHeight="1">
      <c r="A40" s="84">
        <f t="shared" si="1"/>
        <v>0</v>
      </c>
      <c r="B40" s="82">
        <f t="shared" si="2"/>
        <v>1.05</v>
      </c>
      <c r="C40" s="82">
        <f t="shared" si="3"/>
        <v>2.1</v>
      </c>
      <c r="D40" s="84">
        <f t="shared" si="4"/>
        <v>90</v>
      </c>
      <c r="E40" s="84">
        <f t="shared" si="5"/>
        <v>40</v>
      </c>
      <c r="F40" s="84">
        <f t="shared" si="6"/>
        <v>635.7020833</v>
      </c>
      <c r="G40" s="87">
        <f t="shared" si="7"/>
        <v>14991.66667</v>
      </c>
      <c r="H40" s="87">
        <f t="shared" si="8"/>
        <v>112137.6667</v>
      </c>
      <c r="I40" s="103">
        <f t="shared" si="9"/>
        <v>1</v>
      </c>
      <c r="J40" s="84">
        <f t="shared" si="10"/>
        <v>1.40675054</v>
      </c>
      <c r="K40" s="89">
        <f t="shared" si="11"/>
        <v>0.003134709119</v>
      </c>
      <c r="L40" s="84">
        <f t="shared" si="42"/>
        <v>1114.790575</v>
      </c>
      <c r="M40" s="84">
        <f t="shared" si="12"/>
        <v>5.9388123</v>
      </c>
      <c r="N40" s="89">
        <f t="shared" si="13"/>
        <v>0.01323365341</v>
      </c>
      <c r="O40" s="84">
        <f t="shared" si="43"/>
        <v>288.6313569</v>
      </c>
      <c r="P40" s="84">
        <f t="shared" si="14"/>
        <v>6.288879131</v>
      </c>
      <c r="Q40" s="89">
        <f t="shared" si="15"/>
        <v>0.014013719</v>
      </c>
      <c r="R40" s="84">
        <f t="shared" si="44"/>
        <v>241.8649916</v>
      </c>
      <c r="S40" s="84">
        <f t="shared" si="16"/>
        <v>12.89747395</v>
      </c>
      <c r="T40" s="89">
        <f t="shared" si="17"/>
        <v>0.02873987112</v>
      </c>
      <c r="U40" s="84">
        <f t="shared" si="45"/>
        <v>129.6845534</v>
      </c>
      <c r="V40" s="84">
        <f t="shared" si="18"/>
        <v>15.82154875</v>
      </c>
      <c r="W40" s="89">
        <f t="shared" si="19"/>
        <v>0.03525568446</v>
      </c>
      <c r="X40" s="85">
        <f t="shared" si="46"/>
        <v>81.13236382</v>
      </c>
      <c r="Y40" s="86">
        <f t="shared" si="20"/>
        <v>12.96139388</v>
      </c>
      <c r="Z40" s="89">
        <f t="shared" si="21"/>
        <v>0.02888230602</v>
      </c>
      <c r="AA40" s="84">
        <f t="shared" si="47"/>
        <v>112.6996149</v>
      </c>
      <c r="AB40" s="84">
        <f t="shared" si="22"/>
        <v>25.40920712</v>
      </c>
      <c r="AC40" s="89">
        <f t="shared" si="23"/>
        <v>0.0566201832</v>
      </c>
      <c r="AD40" s="84">
        <f t="shared" si="48"/>
        <v>61.90482943</v>
      </c>
      <c r="AE40" s="86">
        <f t="shared" si="24"/>
        <v>22.04703318</v>
      </c>
      <c r="AF40" s="89">
        <f t="shared" si="25"/>
        <v>0.04912813894</v>
      </c>
      <c r="AG40" s="84">
        <f t="shared" si="49"/>
        <v>55.81424861</v>
      </c>
      <c r="AH40" s="84">
        <f t="shared" si="26"/>
        <v>45.07930679</v>
      </c>
      <c r="AI40" s="89">
        <f t="shared" si="27"/>
        <v>0.100451722</v>
      </c>
      <c r="AJ40" s="85">
        <f t="shared" si="50"/>
        <v>29.86275284</v>
      </c>
      <c r="AK40" s="84">
        <f t="shared" si="28"/>
        <v>29.28892335</v>
      </c>
      <c r="AL40" s="89">
        <f t="shared" si="29"/>
        <v>0.06526548419</v>
      </c>
      <c r="AM40" s="84">
        <f t="shared" si="51"/>
        <v>56.87065111</v>
      </c>
      <c r="AN40" s="84">
        <f t="shared" si="30"/>
        <v>43.07902223</v>
      </c>
      <c r="AO40" s="89">
        <f t="shared" si="31"/>
        <v>0.0959944212</v>
      </c>
      <c r="AP40" s="84">
        <f t="shared" si="52"/>
        <v>35.33091985</v>
      </c>
      <c r="AQ40" s="86">
        <f t="shared" si="32"/>
        <v>60.07368059</v>
      </c>
      <c r="AR40" s="89">
        <f t="shared" si="33"/>
        <v>0.1338641849</v>
      </c>
      <c r="AS40" s="84">
        <f t="shared" si="53"/>
        <v>24.28173971</v>
      </c>
      <c r="AT40" s="84">
        <f t="shared" si="34"/>
        <v>99.56687916</v>
      </c>
      <c r="AU40" s="89">
        <f t="shared" si="35"/>
        <v>0.2218681957</v>
      </c>
      <c r="AV40" s="85">
        <f t="shared" si="54"/>
        <v>20.09420288</v>
      </c>
      <c r="AW40" s="84">
        <f t="shared" si="36"/>
        <v>63.82781898</v>
      </c>
      <c r="AX40" s="89">
        <f t="shared" si="37"/>
        <v>0.1422296566</v>
      </c>
      <c r="AY40" s="84">
        <f t="shared" si="55"/>
        <v>9.440902551</v>
      </c>
      <c r="AZ40" s="84">
        <f t="shared" si="38"/>
        <v>124.1255758</v>
      </c>
      <c r="BA40" s="89">
        <f t="shared" si="39"/>
        <v>0.276593158</v>
      </c>
      <c r="BB40" s="84">
        <f t="shared" si="56"/>
        <v>6.74633952</v>
      </c>
      <c r="BC40" s="84">
        <f t="shared" si="40"/>
        <v>165.7769657</v>
      </c>
      <c r="BD40" s="89">
        <f t="shared" si="41"/>
        <v>0.3694063386</v>
      </c>
      <c r="BE40" s="84">
        <f t="shared" si="57"/>
        <v>6.11018926</v>
      </c>
    </row>
    <row r="41" ht="30.0" customHeight="1">
      <c r="A41" s="105" t="s">
        <v>100</v>
      </c>
      <c r="B41" s="106"/>
      <c r="C41" s="106"/>
      <c r="D41" s="107" t="s">
        <v>101</v>
      </c>
      <c r="E41" s="10"/>
      <c r="F41" s="10"/>
      <c r="G41" s="10"/>
      <c r="H41" s="10"/>
      <c r="I41" s="11"/>
      <c r="J41" s="108" t="str">
        <f>IF(AND(L38&gt;=$D$13,L38&lt;=$D$12),J14,"no")</f>
        <v>no</v>
      </c>
      <c r="K41" s="10"/>
      <c r="L41" s="11"/>
      <c r="M41" s="108" t="str">
        <f>IF(AND(O38&gt;=$D$13,O38&lt;=$D$12),M14,"no")</f>
        <v>no</v>
      </c>
      <c r="N41" s="10"/>
      <c r="O41" s="11"/>
      <c r="P41" s="108" t="str">
        <f>IF(AND(R38&gt;=$D$13,R38&lt;=$D$12),P14,"no")</f>
        <v>no</v>
      </c>
      <c r="Q41" s="10"/>
      <c r="R41" s="11"/>
      <c r="S41" s="108" t="str">
        <f>IF(AND(U38&gt;=$D$13,U38&lt;=$D$12),S14,"no")</f>
        <v>MF 2" - 1.5" Orifice</v>
      </c>
      <c r="T41" s="10"/>
      <c r="U41" s="11"/>
      <c r="V41" s="108" t="str">
        <f>IF(AND(X38&gt;=$D$13,X38&lt;=$D$12),V14,"no")</f>
        <v>MF 2" - 2"</v>
      </c>
      <c r="W41" s="10"/>
      <c r="X41" s="109"/>
      <c r="Y41" s="110" t="str">
        <f>IF(AND(AA38&gt;=$D$13,AA38&lt;=$D$12),Y14,"no")</f>
        <v>MF 3"  - 1.5" Orifice</v>
      </c>
      <c r="Z41" s="10"/>
      <c r="AA41" s="11"/>
      <c r="AB41" s="108" t="str">
        <f>IF(AND(AD38&gt;=$D$13,AD38&lt;=$D$12),AB14,"no")</f>
        <v>MF 3" - 2.0" Orifice</v>
      </c>
      <c r="AC41" s="10"/>
      <c r="AD41" s="11"/>
      <c r="AE41" s="110" t="str">
        <f>IF(AND(AG38&gt;=$D$13,AG38&lt;=$D$12),AE14,"no")</f>
        <v>MF 3"  - 2.5" Orifice</v>
      </c>
      <c r="AF41" s="10"/>
      <c r="AG41" s="11"/>
      <c r="AH41" s="108" t="str">
        <f>IF(AND(AJ38&gt;=$D$13,AJ38&lt;=$D$12),AH14,"no")</f>
        <v>no</v>
      </c>
      <c r="AI41" s="10"/>
      <c r="AJ41" s="109"/>
      <c r="AK41" s="108" t="str">
        <f>IF(AND(AM38&gt;=$D$13,AM38&lt;=$D$12),AK14,"no")</f>
        <v>MF 4" - 2.0" Orifice</v>
      </c>
      <c r="AL41" s="10"/>
      <c r="AM41" s="11"/>
      <c r="AN41" s="108" t="str">
        <f>IF(AND(AP38&gt;=$D$13,AP38&lt;=$D$12),AN14,"no")</f>
        <v>no</v>
      </c>
      <c r="AO41" s="10"/>
      <c r="AP41" s="11"/>
      <c r="AQ41" s="110" t="str">
        <f>IF(AND(AS38&gt;=$D$13,AS38&lt;=$D$12),AQ14,"no")</f>
        <v>no</v>
      </c>
      <c r="AR41" s="10"/>
      <c r="AS41" s="11"/>
      <c r="AT41" s="108" t="str">
        <f>IF(AND(AV38&gt;=$D$13,AV38&lt;=$D$12),AT14,"no")</f>
        <v>no</v>
      </c>
      <c r="AU41" s="10"/>
      <c r="AV41" s="109"/>
      <c r="AW41" s="108" t="str">
        <f>IF(AND(AY38&gt;=$D$13,AY38&lt;=$D$12),AW14,"no")</f>
        <v>no</v>
      </c>
      <c r="AX41" s="10"/>
      <c r="AY41" s="11"/>
      <c r="AZ41" s="108" t="str">
        <f>IF(AND(BB38&gt;=$D$13,BB38&lt;=$D$12),AZ14,"no")</f>
        <v>no</v>
      </c>
      <c r="BA41" s="10"/>
      <c r="BB41" s="11"/>
      <c r="BC41" s="108" t="str">
        <f>IF(AND(BE38&gt;=$D$13,BE38&lt;=$D$12),BC14,"no")</f>
        <v>no</v>
      </c>
      <c r="BD41" s="10"/>
      <c r="BE41" s="11"/>
      <c r="BF41" s="111"/>
    </row>
    <row r="42" ht="15.0" customHeight="1">
      <c r="A42" s="112"/>
      <c r="B42" s="112"/>
      <c r="C42" s="112"/>
      <c r="D42" s="113"/>
      <c r="E42" s="113"/>
      <c r="F42" s="113"/>
      <c r="G42" s="113"/>
      <c r="H42" s="113"/>
      <c r="I42" s="114"/>
      <c r="J42" s="114"/>
      <c r="K42" s="114"/>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1"/>
    </row>
    <row r="43" ht="15.0" customHeight="1">
      <c r="A43" s="112"/>
      <c r="B43" s="112"/>
      <c r="C43" s="112"/>
      <c r="D43" s="113"/>
      <c r="E43" s="113"/>
      <c r="F43" s="113"/>
      <c r="G43" s="113"/>
      <c r="H43" s="113"/>
      <c r="I43" s="114"/>
      <c r="J43" s="114"/>
      <c r="K43" s="114"/>
      <c r="L43" s="116" t="s">
        <v>102</v>
      </c>
      <c r="M43" s="116"/>
      <c r="N43" s="116"/>
      <c r="O43" s="116"/>
      <c r="P43" s="116"/>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row>
    <row r="44" ht="15.0" customHeight="1">
      <c r="A44" s="7"/>
      <c r="B44" s="7"/>
      <c r="C44" s="7"/>
      <c r="D44" s="117"/>
      <c r="E44" s="117"/>
      <c r="F44" s="117"/>
      <c r="G44" s="117"/>
      <c r="H44" s="117"/>
      <c r="I44" s="114"/>
      <c r="J44" s="114"/>
      <c r="K44" s="114"/>
      <c r="L44" s="116" t="s">
        <v>103</v>
      </c>
      <c r="M44" s="116"/>
      <c r="N44" s="116"/>
      <c r="O44" s="116"/>
      <c r="P44" s="116"/>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2"/>
    </row>
    <row r="45" ht="15.0" customHeight="1">
      <c r="A45" s="112"/>
      <c r="B45" s="112"/>
      <c r="C45" s="112"/>
      <c r="D45" s="113"/>
      <c r="E45" s="113"/>
      <c r="F45" s="113"/>
      <c r="G45" s="113"/>
      <c r="H45" s="113"/>
      <c r="I45" s="114"/>
      <c r="J45" s="114"/>
      <c r="K45" s="114"/>
      <c r="L45" s="116" t="s">
        <v>104</v>
      </c>
      <c r="M45" s="116"/>
      <c r="N45" s="116"/>
      <c r="O45" s="116"/>
      <c r="P45" s="116"/>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B45" s="113"/>
      <c r="BC45" s="113"/>
      <c r="BD45" s="113"/>
      <c r="BE45" s="113"/>
      <c r="BF45" s="112"/>
    </row>
    <row r="46" ht="15.0" customHeight="1">
      <c r="A46" s="112"/>
      <c r="B46" s="112"/>
      <c r="C46" s="112"/>
      <c r="D46" s="113"/>
      <c r="E46" s="113"/>
      <c r="F46" s="113"/>
      <c r="G46" s="113"/>
      <c r="H46" s="113"/>
      <c r="I46" s="114"/>
      <c r="J46" s="114"/>
      <c r="K46" s="114"/>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2"/>
    </row>
    <row r="47" ht="15.0" customHeight="1">
      <c r="A47" s="112"/>
      <c r="B47" s="112"/>
      <c r="C47" s="112"/>
      <c r="D47" s="113"/>
      <c r="E47" s="113"/>
      <c r="F47" s="113"/>
      <c r="G47" s="113"/>
      <c r="H47" s="113"/>
      <c r="I47" s="114"/>
      <c r="J47" s="114"/>
      <c r="K47" s="114"/>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2"/>
    </row>
    <row r="48" ht="15.0" customHeight="1">
      <c r="A48" s="112"/>
      <c r="B48" s="112"/>
      <c r="C48" s="112"/>
      <c r="D48" s="113"/>
      <c r="E48" s="113"/>
      <c r="F48" s="113"/>
      <c r="G48" s="113"/>
      <c r="H48" s="113"/>
      <c r="I48" s="114"/>
      <c r="J48" s="114"/>
      <c r="K48" s="114"/>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2"/>
    </row>
    <row r="49" ht="15.0" customHeight="1">
      <c r="A49" s="112"/>
      <c r="B49" s="112"/>
      <c r="C49" s="112"/>
      <c r="D49" s="113"/>
      <c r="E49" s="113"/>
      <c r="F49" s="113"/>
      <c r="G49" s="113"/>
      <c r="H49" s="113"/>
      <c r="I49" s="114"/>
      <c r="J49" s="114"/>
      <c r="K49" s="114"/>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2"/>
    </row>
    <row r="50" ht="15.0" customHeight="1">
      <c r="A50" s="112"/>
      <c r="B50" s="112"/>
      <c r="C50" s="112"/>
      <c r="D50" s="113"/>
      <c r="E50" s="113"/>
      <c r="F50" s="113"/>
      <c r="G50" s="113"/>
      <c r="H50" s="113"/>
      <c r="I50" s="114"/>
      <c r="J50" s="114"/>
      <c r="K50" s="114"/>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2"/>
    </row>
    <row r="51" ht="15.0" customHeight="1">
      <c r="A51" s="112"/>
      <c r="B51" s="112"/>
      <c r="C51" s="112"/>
      <c r="D51" s="113"/>
      <c r="E51" s="113"/>
      <c r="F51" s="113"/>
      <c r="G51" s="113"/>
      <c r="H51" s="113"/>
      <c r="I51" s="114"/>
      <c r="J51" s="114"/>
      <c r="K51" s="114"/>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3"/>
      <c r="AY51" s="113"/>
      <c r="AZ51" s="113"/>
      <c r="BA51" s="113"/>
      <c r="BB51" s="113"/>
      <c r="BC51" s="113"/>
      <c r="BD51" s="113"/>
      <c r="BE51" s="113"/>
      <c r="BF51" s="112"/>
    </row>
    <row r="52" ht="15.0" customHeight="1">
      <c r="A52" s="112"/>
      <c r="B52" s="112"/>
      <c r="C52" s="112"/>
      <c r="D52" s="113"/>
      <c r="E52" s="113"/>
      <c r="F52" s="113"/>
      <c r="G52" s="113"/>
      <c r="H52" s="113"/>
      <c r="I52" s="114"/>
      <c r="J52" s="114"/>
      <c r="K52" s="114"/>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2"/>
    </row>
    <row r="53" ht="15.0" customHeight="1">
      <c r="A53" s="112"/>
      <c r="B53" s="112"/>
      <c r="C53" s="112"/>
      <c r="D53" s="113"/>
      <c r="E53" s="113"/>
      <c r="F53" s="113"/>
      <c r="G53" s="113"/>
      <c r="H53" s="113"/>
      <c r="I53" s="114"/>
      <c r="J53" s="114"/>
      <c r="K53" s="114"/>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3"/>
      <c r="AV53" s="113"/>
      <c r="AW53" s="113"/>
      <c r="AX53" s="113"/>
      <c r="AY53" s="113"/>
      <c r="AZ53" s="113"/>
      <c r="BA53" s="113"/>
      <c r="BB53" s="113"/>
      <c r="BC53" s="113"/>
      <c r="BD53" s="113"/>
      <c r="BE53" s="113"/>
      <c r="BF53" s="112"/>
    </row>
    <row r="54" ht="15.0" customHeight="1">
      <c r="A54" s="112"/>
      <c r="B54" s="112"/>
      <c r="C54" s="112"/>
      <c r="D54" s="113"/>
      <c r="E54" s="113"/>
      <c r="F54" s="113"/>
      <c r="G54" s="113"/>
      <c r="H54" s="113"/>
      <c r="I54" s="114"/>
      <c r="J54" s="114"/>
      <c r="K54" s="114"/>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13"/>
      <c r="BA54" s="113"/>
      <c r="BB54" s="113"/>
      <c r="BC54" s="113"/>
      <c r="BD54" s="113"/>
      <c r="BE54" s="113"/>
      <c r="BF54" s="112"/>
    </row>
    <row r="55" ht="15.0" customHeight="1">
      <c r="A55" s="112"/>
      <c r="B55" s="112"/>
      <c r="C55" s="112"/>
      <c r="D55" s="113"/>
      <c r="E55" s="113"/>
      <c r="F55" s="113"/>
      <c r="G55" s="113"/>
      <c r="H55" s="113"/>
      <c r="I55" s="114"/>
      <c r="J55" s="114"/>
      <c r="K55" s="114"/>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3"/>
      <c r="AV55" s="113"/>
      <c r="AW55" s="113"/>
      <c r="AX55" s="113"/>
      <c r="AY55" s="113"/>
      <c r="AZ55" s="113"/>
      <c r="BA55" s="113"/>
      <c r="BB55" s="113"/>
      <c r="BC55" s="113"/>
      <c r="BD55" s="113"/>
      <c r="BE55" s="113"/>
      <c r="BF55" s="112"/>
    </row>
    <row r="56" ht="15.0" customHeight="1">
      <c r="A56" s="112"/>
      <c r="B56" s="112"/>
      <c r="C56" s="112"/>
      <c r="D56" s="113"/>
      <c r="E56" s="113"/>
      <c r="F56" s="113"/>
      <c r="G56" s="113"/>
      <c r="H56" s="113"/>
      <c r="I56" s="114"/>
      <c r="J56" s="114"/>
      <c r="K56" s="114"/>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c r="AV56" s="113"/>
      <c r="AW56" s="113"/>
      <c r="AX56" s="113"/>
      <c r="AY56" s="113"/>
      <c r="AZ56" s="113"/>
      <c r="BA56" s="113"/>
      <c r="BB56" s="113"/>
      <c r="BC56" s="113"/>
      <c r="BD56" s="113"/>
      <c r="BE56" s="113"/>
      <c r="BF56" s="112"/>
    </row>
    <row r="57" ht="15.0" customHeight="1">
      <c r="A57" s="112"/>
      <c r="B57" s="112"/>
      <c r="C57" s="112"/>
      <c r="D57" s="113"/>
      <c r="E57" s="113"/>
      <c r="F57" s="113"/>
      <c r="G57" s="113"/>
      <c r="H57" s="113"/>
      <c r="I57" s="114"/>
      <c r="J57" s="114"/>
      <c r="K57" s="114"/>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13"/>
      <c r="AV57" s="113"/>
      <c r="AW57" s="113"/>
      <c r="AX57" s="113"/>
      <c r="AY57" s="113"/>
      <c r="AZ57" s="113"/>
      <c r="BA57" s="113"/>
      <c r="BB57" s="113"/>
      <c r="BC57" s="113"/>
      <c r="BD57" s="113"/>
      <c r="BE57" s="113"/>
      <c r="BF57" s="112"/>
    </row>
    <row r="58" ht="15.0" customHeight="1">
      <c r="A58" s="112"/>
      <c r="B58" s="112"/>
      <c r="C58" s="112"/>
      <c r="D58" s="113"/>
      <c r="E58" s="113"/>
      <c r="F58" s="113"/>
      <c r="G58" s="113"/>
      <c r="H58" s="113"/>
      <c r="I58" s="114"/>
      <c r="J58" s="114"/>
      <c r="K58" s="114"/>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13"/>
      <c r="AV58" s="113"/>
      <c r="AW58" s="113"/>
      <c r="AX58" s="113"/>
      <c r="AY58" s="113"/>
      <c r="AZ58" s="113"/>
      <c r="BA58" s="113"/>
      <c r="BB58" s="113"/>
      <c r="BC58" s="113"/>
      <c r="BD58" s="113"/>
      <c r="BE58" s="113"/>
    </row>
    <row r="59" ht="15.0" customHeight="1">
      <c r="A59" s="112"/>
      <c r="B59" s="112"/>
      <c r="C59" s="112"/>
      <c r="D59" s="113"/>
      <c r="E59" s="113"/>
      <c r="F59" s="113"/>
      <c r="G59" s="113"/>
      <c r="H59" s="113"/>
      <c r="I59" s="114"/>
      <c r="J59" s="114"/>
      <c r="K59" s="114"/>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3"/>
      <c r="BC59" s="113"/>
      <c r="BD59" s="113"/>
      <c r="BE59" s="113"/>
    </row>
    <row r="60" ht="15.0" customHeight="1">
      <c r="A60" s="112"/>
      <c r="B60" s="112"/>
      <c r="C60" s="112"/>
      <c r="D60" s="113"/>
      <c r="E60" s="113"/>
      <c r="F60" s="113"/>
      <c r="G60" s="113"/>
      <c r="H60" s="113"/>
      <c r="I60" s="114"/>
      <c r="J60" s="114"/>
      <c r="K60" s="114"/>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row>
    <row r="61" ht="15.0" customHeight="1">
      <c r="A61" s="112"/>
      <c r="B61" s="112"/>
      <c r="C61" s="112"/>
      <c r="D61" s="113"/>
      <c r="E61" s="113"/>
      <c r="F61" s="113"/>
      <c r="G61" s="113"/>
      <c r="H61" s="113"/>
      <c r="I61" s="114"/>
      <c r="J61" s="114"/>
      <c r="K61" s="114"/>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row>
    <row r="62" ht="15.0" customHeight="1">
      <c r="A62" s="112"/>
      <c r="B62" s="112"/>
      <c r="C62" s="112"/>
      <c r="D62" s="113"/>
      <c r="E62" s="113"/>
      <c r="F62" s="113"/>
      <c r="G62" s="113"/>
      <c r="H62" s="113"/>
      <c r="I62" s="114"/>
      <c r="J62" s="114"/>
      <c r="K62" s="114"/>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3"/>
      <c r="BA62" s="113"/>
      <c r="BB62" s="113"/>
      <c r="BC62" s="113"/>
      <c r="BD62" s="113"/>
      <c r="BE62" s="113"/>
    </row>
    <row r="63" ht="15.0" customHeight="1">
      <c r="A63" s="112"/>
      <c r="B63" s="112"/>
      <c r="C63" s="112"/>
      <c r="D63" s="113"/>
      <c r="E63" s="113"/>
      <c r="F63" s="113"/>
      <c r="G63" s="113"/>
      <c r="H63" s="113"/>
      <c r="I63" s="114"/>
      <c r="J63" s="114"/>
      <c r="K63" s="114"/>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c r="AX63" s="113"/>
      <c r="AY63" s="113"/>
      <c r="AZ63" s="113"/>
      <c r="BA63" s="113"/>
      <c r="BB63" s="113"/>
      <c r="BC63" s="113"/>
      <c r="BD63" s="113"/>
      <c r="BE63" s="113"/>
    </row>
    <row r="64" ht="15.0" customHeight="1">
      <c r="A64" s="112"/>
      <c r="B64" s="112"/>
      <c r="C64" s="112"/>
      <c r="D64" s="113"/>
      <c r="E64" s="113"/>
      <c r="F64" s="113"/>
      <c r="G64" s="113"/>
      <c r="H64" s="113"/>
      <c r="I64" s="114"/>
      <c r="J64" s="114"/>
      <c r="K64" s="114"/>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113"/>
      <c r="AY64" s="113"/>
      <c r="AZ64" s="113"/>
      <c r="BA64" s="113"/>
      <c r="BB64" s="113"/>
      <c r="BC64" s="113"/>
      <c r="BD64" s="113"/>
      <c r="BE64" s="113"/>
    </row>
    <row r="65" ht="15.0" customHeight="1">
      <c r="A65" s="112"/>
      <c r="B65" s="112"/>
      <c r="C65" s="112"/>
      <c r="D65" s="113"/>
      <c r="E65" s="113"/>
      <c r="F65" s="113"/>
      <c r="G65" s="113"/>
      <c r="H65" s="113"/>
      <c r="I65" s="114"/>
      <c r="J65" s="114"/>
      <c r="K65" s="114"/>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13"/>
      <c r="AV65" s="113"/>
      <c r="AW65" s="113"/>
      <c r="AX65" s="113"/>
      <c r="AY65" s="113"/>
      <c r="AZ65" s="113"/>
      <c r="BA65" s="113"/>
      <c r="BB65" s="113"/>
      <c r="BC65" s="113"/>
      <c r="BD65" s="113"/>
      <c r="BE65" s="113"/>
    </row>
    <row r="66" ht="15.0" customHeight="1">
      <c r="A66" s="112"/>
      <c r="B66" s="112"/>
      <c r="C66" s="112"/>
      <c r="D66" s="113"/>
      <c r="E66" s="113"/>
      <c r="F66" s="113"/>
      <c r="G66" s="113"/>
      <c r="H66" s="113"/>
      <c r="I66" s="114"/>
      <c r="J66" s="114"/>
      <c r="K66" s="114"/>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113"/>
      <c r="AU66" s="113"/>
      <c r="AV66" s="113"/>
      <c r="AW66" s="113"/>
      <c r="AX66" s="113"/>
      <c r="AY66" s="113"/>
      <c r="AZ66" s="113"/>
      <c r="BA66" s="113"/>
      <c r="BB66" s="113"/>
      <c r="BC66" s="113"/>
      <c r="BD66" s="113"/>
      <c r="BE66" s="113"/>
    </row>
    <row r="67" ht="15.0" customHeight="1">
      <c r="A67" s="112"/>
      <c r="B67" s="112"/>
      <c r="C67" s="112"/>
      <c r="D67" s="113"/>
      <c r="E67" s="113"/>
      <c r="F67" s="113"/>
      <c r="G67" s="113"/>
      <c r="H67" s="113"/>
      <c r="I67" s="114"/>
      <c r="J67" s="114"/>
      <c r="K67" s="114"/>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3"/>
      <c r="AU67" s="113"/>
      <c r="AV67" s="113"/>
      <c r="AW67" s="113"/>
      <c r="AX67" s="113"/>
      <c r="AY67" s="113"/>
      <c r="AZ67" s="113"/>
      <c r="BA67" s="113"/>
      <c r="BB67" s="113"/>
      <c r="BC67" s="113"/>
      <c r="BD67" s="113"/>
      <c r="BE67" s="113"/>
    </row>
    <row r="68" ht="15.0" customHeight="1">
      <c r="A68" s="112"/>
      <c r="B68" s="112"/>
      <c r="C68" s="112"/>
      <c r="D68" s="113"/>
      <c r="E68" s="113"/>
      <c r="F68" s="113"/>
      <c r="G68" s="113"/>
      <c r="H68" s="113"/>
      <c r="I68" s="114"/>
      <c r="J68" s="114"/>
      <c r="K68" s="114"/>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c r="AO68" s="113"/>
      <c r="AP68" s="113"/>
      <c r="AQ68" s="113"/>
      <c r="AR68" s="113"/>
      <c r="AS68" s="113"/>
      <c r="AT68" s="113"/>
      <c r="AU68" s="113"/>
      <c r="AV68" s="113"/>
      <c r="AW68" s="113"/>
      <c r="AX68" s="113"/>
      <c r="AY68" s="113"/>
      <c r="AZ68" s="113"/>
      <c r="BA68" s="113"/>
      <c r="BB68" s="113"/>
      <c r="BC68" s="113"/>
      <c r="BD68" s="113"/>
      <c r="BE68" s="113"/>
    </row>
    <row r="69" ht="15.0" customHeight="1">
      <c r="A69" s="112"/>
      <c r="B69" s="112"/>
      <c r="C69" s="112"/>
      <c r="D69" s="113"/>
      <c r="E69" s="113"/>
      <c r="F69" s="113"/>
      <c r="G69" s="113"/>
      <c r="H69" s="113"/>
      <c r="I69" s="114"/>
      <c r="J69" s="114"/>
      <c r="K69" s="114"/>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3"/>
      <c r="AV69" s="113"/>
      <c r="AW69" s="113"/>
      <c r="AX69" s="113"/>
      <c r="AY69" s="113"/>
      <c r="AZ69" s="113"/>
      <c r="BA69" s="113"/>
      <c r="BB69" s="113"/>
      <c r="BC69" s="113"/>
      <c r="BD69" s="113"/>
      <c r="BE69" s="113"/>
    </row>
    <row r="70" ht="15.0" customHeight="1">
      <c r="A70" s="112"/>
      <c r="B70" s="112"/>
      <c r="C70" s="112"/>
      <c r="D70" s="113"/>
      <c r="E70" s="113"/>
      <c r="F70" s="113"/>
      <c r="G70" s="113"/>
      <c r="H70" s="113"/>
      <c r="I70" s="114"/>
      <c r="J70" s="114"/>
      <c r="K70" s="114"/>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13"/>
      <c r="AU70" s="113"/>
      <c r="AV70" s="113"/>
      <c r="AW70" s="113"/>
      <c r="AX70" s="113"/>
      <c r="AY70" s="113"/>
      <c r="AZ70" s="113"/>
      <c r="BA70" s="113"/>
      <c r="BB70" s="113"/>
      <c r="BC70" s="113"/>
      <c r="BD70" s="113"/>
      <c r="BE70" s="113"/>
    </row>
    <row r="71" ht="15.0" customHeight="1">
      <c r="A71" s="112"/>
      <c r="B71" s="112"/>
      <c r="C71" s="112"/>
      <c r="D71" s="113"/>
      <c r="E71" s="113"/>
      <c r="F71" s="113"/>
      <c r="G71" s="113"/>
      <c r="H71" s="113"/>
      <c r="I71" s="114"/>
      <c r="J71" s="114"/>
      <c r="K71" s="114"/>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13"/>
      <c r="AU71" s="113"/>
      <c r="AV71" s="113"/>
      <c r="AW71" s="113"/>
      <c r="AX71" s="113"/>
      <c r="AY71" s="113"/>
      <c r="AZ71" s="113"/>
      <c r="BA71" s="113"/>
      <c r="BB71" s="113"/>
      <c r="BC71" s="113"/>
      <c r="BD71" s="113"/>
      <c r="BE71" s="113"/>
    </row>
    <row r="72" ht="15.0" customHeight="1">
      <c r="A72" s="112"/>
      <c r="B72" s="112"/>
      <c r="C72" s="112"/>
      <c r="D72" s="113"/>
      <c r="E72" s="113"/>
      <c r="F72" s="113"/>
      <c r="G72" s="113"/>
      <c r="H72" s="113"/>
      <c r="I72" s="114"/>
      <c r="J72" s="114"/>
      <c r="K72" s="114"/>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c r="AU72" s="113"/>
      <c r="AV72" s="113"/>
      <c r="AW72" s="113"/>
      <c r="AX72" s="113"/>
      <c r="AY72" s="113"/>
      <c r="AZ72" s="113"/>
      <c r="BA72" s="113"/>
      <c r="BB72" s="113"/>
      <c r="BC72" s="113"/>
      <c r="BD72" s="113"/>
      <c r="BE72" s="113"/>
    </row>
    <row r="73" ht="15.0" customHeight="1">
      <c r="A73" s="112"/>
      <c r="B73" s="112"/>
      <c r="C73" s="112"/>
      <c r="D73" s="113"/>
      <c r="E73" s="113"/>
      <c r="F73" s="113"/>
      <c r="G73" s="113"/>
      <c r="H73" s="113"/>
      <c r="I73" s="114"/>
      <c r="J73" s="114"/>
      <c r="K73" s="114"/>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c r="AU73" s="113"/>
      <c r="AV73" s="113"/>
      <c r="AW73" s="113"/>
      <c r="AX73" s="113"/>
      <c r="AY73" s="113"/>
      <c r="AZ73" s="113"/>
      <c r="BA73" s="113"/>
      <c r="BB73" s="113"/>
      <c r="BC73" s="113"/>
      <c r="BD73" s="113"/>
      <c r="BE73" s="113"/>
    </row>
    <row r="74" ht="15.0" customHeight="1">
      <c r="A74" s="112"/>
      <c r="B74" s="112"/>
      <c r="C74" s="112"/>
      <c r="D74" s="113"/>
      <c r="E74" s="113"/>
      <c r="F74" s="113"/>
      <c r="G74" s="113"/>
      <c r="H74" s="113"/>
      <c r="I74" s="114"/>
      <c r="J74" s="114"/>
      <c r="K74" s="114"/>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113"/>
      <c r="AY74" s="113"/>
      <c r="AZ74" s="113"/>
      <c r="BA74" s="113"/>
      <c r="BB74" s="113"/>
      <c r="BC74" s="113"/>
      <c r="BD74" s="113"/>
      <c r="BE74" s="113"/>
    </row>
    <row r="75" ht="15.0" customHeight="1">
      <c r="A75" s="112"/>
      <c r="B75" s="112"/>
      <c r="C75" s="112"/>
      <c r="D75" s="113"/>
      <c r="E75" s="113"/>
      <c r="F75" s="113"/>
      <c r="G75" s="113"/>
      <c r="H75" s="113"/>
      <c r="I75" s="114"/>
      <c r="J75" s="114"/>
      <c r="K75" s="114"/>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c r="AO75" s="113"/>
      <c r="AP75" s="113"/>
      <c r="AQ75" s="113"/>
      <c r="AR75" s="113"/>
      <c r="AS75" s="113"/>
      <c r="AT75" s="113"/>
      <c r="AU75" s="113"/>
      <c r="AV75" s="113"/>
      <c r="AW75" s="113"/>
      <c r="AX75" s="113"/>
      <c r="AY75" s="113"/>
      <c r="AZ75" s="113"/>
      <c r="BA75" s="113"/>
      <c r="BB75" s="113"/>
      <c r="BC75" s="113"/>
      <c r="BD75" s="113"/>
      <c r="BE75" s="113"/>
    </row>
    <row r="76" ht="15.0" customHeight="1">
      <c r="A76" s="112"/>
      <c r="B76" s="112"/>
      <c r="C76" s="112"/>
      <c r="D76" s="113"/>
      <c r="E76" s="113"/>
      <c r="F76" s="113"/>
      <c r="G76" s="113"/>
      <c r="H76" s="113"/>
      <c r="I76" s="114"/>
      <c r="J76" s="114"/>
      <c r="K76" s="114"/>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3"/>
      <c r="AV76" s="113"/>
      <c r="AW76" s="113"/>
      <c r="AX76" s="113"/>
      <c r="AY76" s="113"/>
      <c r="AZ76" s="113"/>
      <c r="BA76" s="113"/>
      <c r="BB76" s="113"/>
      <c r="BC76" s="113"/>
      <c r="BD76" s="113"/>
      <c r="BE76" s="113"/>
    </row>
    <row r="77" ht="15.0" customHeight="1">
      <c r="A77" s="112"/>
      <c r="B77" s="112"/>
      <c r="C77" s="112"/>
      <c r="D77" s="113"/>
      <c r="E77" s="113"/>
      <c r="F77" s="113"/>
      <c r="G77" s="113"/>
      <c r="H77" s="113"/>
      <c r="I77" s="114"/>
      <c r="J77" s="114"/>
      <c r="K77" s="114"/>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c r="AN77" s="113"/>
      <c r="AO77" s="113"/>
      <c r="AP77" s="113"/>
      <c r="AQ77" s="113"/>
      <c r="AR77" s="113"/>
      <c r="AS77" s="113"/>
      <c r="AT77" s="113"/>
      <c r="AU77" s="113"/>
      <c r="AV77" s="113"/>
      <c r="AW77" s="113"/>
      <c r="AX77" s="113"/>
      <c r="AY77" s="113"/>
      <c r="AZ77" s="113"/>
      <c r="BA77" s="113"/>
      <c r="BB77" s="113"/>
      <c r="BC77" s="113"/>
      <c r="BD77" s="113"/>
      <c r="BE77" s="113"/>
    </row>
    <row r="78" ht="15.0" customHeight="1">
      <c r="A78" s="112"/>
      <c r="B78" s="112"/>
      <c r="C78" s="112"/>
      <c r="D78" s="113"/>
      <c r="E78" s="113"/>
      <c r="F78" s="113"/>
      <c r="G78" s="113"/>
      <c r="H78" s="113"/>
      <c r="I78" s="114"/>
      <c r="J78" s="114"/>
      <c r="K78" s="114"/>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113"/>
      <c r="AR78" s="113"/>
      <c r="AS78" s="113"/>
      <c r="AT78" s="113"/>
      <c r="AU78" s="113"/>
      <c r="AV78" s="113"/>
      <c r="AW78" s="113"/>
      <c r="AX78" s="113"/>
      <c r="AY78" s="113"/>
      <c r="AZ78" s="113"/>
      <c r="BA78" s="113"/>
      <c r="BB78" s="113"/>
      <c r="BC78" s="113"/>
      <c r="BD78" s="113"/>
      <c r="BE78" s="113"/>
    </row>
    <row r="79" ht="15.0" customHeight="1">
      <c r="A79" s="112"/>
      <c r="B79" s="112"/>
      <c r="C79" s="112"/>
      <c r="D79" s="113"/>
      <c r="E79" s="113"/>
      <c r="F79" s="113"/>
      <c r="G79" s="113"/>
      <c r="H79" s="113"/>
      <c r="I79" s="114"/>
      <c r="J79" s="114"/>
      <c r="K79" s="114"/>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c r="AN79" s="113"/>
      <c r="AO79" s="113"/>
      <c r="AP79" s="113"/>
      <c r="AQ79" s="113"/>
      <c r="AR79" s="113"/>
      <c r="AS79" s="113"/>
      <c r="AT79" s="113"/>
      <c r="AU79" s="113"/>
      <c r="AV79" s="113"/>
      <c r="AW79" s="113"/>
      <c r="AX79" s="113"/>
      <c r="AY79" s="113"/>
      <c r="AZ79" s="113"/>
      <c r="BA79" s="113"/>
      <c r="BB79" s="113"/>
      <c r="BC79" s="113"/>
      <c r="BD79" s="113"/>
      <c r="BE79" s="113"/>
    </row>
    <row r="80" ht="15.0" customHeight="1">
      <c r="A80" s="112"/>
      <c r="B80" s="112"/>
      <c r="C80" s="112"/>
      <c r="D80" s="113"/>
      <c r="E80" s="113"/>
      <c r="F80" s="113"/>
      <c r="G80" s="113"/>
      <c r="H80" s="113"/>
      <c r="I80" s="114"/>
      <c r="J80" s="114"/>
      <c r="K80" s="114"/>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c r="AN80" s="113"/>
      <c r="AO80" s="113"/>
      <c r="AP80" s="113"/>
      <c r="AQ80" s="113"/>
      <c r="AR80" s="113"/>
      <c r="AS80" s="113"/>
      <c r="AT80" s="113"/>
      <c r="AU80" s="113"/>
      <c r="AV80" s="113"/>
      <c r="AW80" s="113"/>
      <c r="AX80" s="113"/>
      <c r="AY80" s="113"/>
      <c r="AZ80" s="113"/>
      <c r="BA80" s="113"/>
      <c r="BB80" s="113"/>
      <c r="BC80" s="113"/>
      <c r="BD80" s="113"/>
      <c r="BE80" s="113"/>
    </row>
    <row r="81" ht="15.0" customHeight="1">
      <c r="A81" s="112"/>
      <c r="B81" s="112"/>
      <c r="C81" s="112"/>
      <c r="D81" s="113"/>
      <c r="E81" s="113"/>
      <c r="F81" s="113"/>
      <c r="G81" s="113"/>
      <c r="H81" s="113"/>
      <c r="I81" s="114"/>
      <c r="J81" s="114"/>
      <c r="K81" s="114"/>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c r="AN81" s="113"/>
      <c r="AO81" s="113"/>
      <c r="AP81" s="113"/>
      <c r="AQ81" s="113"/>
      <c r="AR81" s="113"/>
      <c r="AS81" s="113"/>
      <c r="AT81" s="113"/>
      <c r="AU81" s="113"/>
      <c r="AV81" s="113"/>
      <c r="AW81" s="113"/>
      <c r="AX81" s="113"/>
      <c r="AY81" s="113"/>
      <c r="AZ81" s="113"/>
      <c r="BA81" s="113"/>
      <c r="BB81" s="113"/>
      <c r="BC81" s="113"/>
      <c r="BD81" s="113"/>
      <c r="BE81" s="113"/>
    </row>
    <row r="82" ht="15.0" customHeight="1">
      <c r="A82" s="112"/>
      <c r="B82" s="112"/>
      <c r="C82" s="112"/>
      <c r="D82" s="113"/>
      <c r="E82" s="113"/>
      <c r="F82" s="113"/>
      <c r="G82" s="113"/>
      <c r="H82" s="113"/>
      <c r="I82" s="114"/>
      <c r="J82" s="114"/>
      <c r="K82" s="114"/>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c r="AN82" s="113"/>
      <c r="AO82" s="113"/>
      <c r="AP82" s="113"/>
      <c r="AQ82" s="113"/>
      <c r="AR82" s="113"/>
      <c r="AS82" s="113"/>
      <c r="AT82" s="113"/>
      <c r="AU82" s="113"/>
      <c r="AV82" s="113"/>
      <c r="AW82" s="113"/>
      <c r="AX82" s="113"/>
      <c r="AY82" s="113"/>
      <c r="AZ82" s="113"/>
      <c r="BA82" s="113"/>
      <c r="BB82" s="113"/>
      <c r="BC82" s="113"/>
      <c r="BD82" s="113"/>
      <c r="BE82" s="113"/>
    </row>
    <row r="83" ht="15.0" customHeight="1">
      <c r="A83" s="112"/>
      <c r="B83" s="112"/>
      <c r="C83" s="112"/>
      <c r="D83" s="113"/>
      <c r="E83" s="113"/>
      <c r="F83" s="113"/>
      <c r="G83" s="113"/>
      <c r="H83" s="113"/>
      <c r="I83" s="114"/>
      <c r="J83" s="114"/>
      <c r="K83" s="114"/>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3"/>
      <c r="BC83" s="113"/>
      <c r="BD83" s="113"/>
      <c r="BE83" s="113"/>
    </row>
    <row r="84" ht="15.0" customHeight="1">
      <c r="A84" s="112"/>
      <c r="B84" s="112"/>
      <c r="C84" s="112"/>
      <c r="D84" s="113"/>
      <c r="E84" s="113"/>
      <c r="F84" s="113"/>
      <c r="G84" s="113"/>
      <c r="H84" s="113"/>
      <c r="I84" s="114"/>
      <c r="J84" s="114"/>
      <c r="K84" s="114"/>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3"/>
      <c r="AV84" s="113"/>
      <c r="AW84" s="113"/>
      <c r="AX84" s="113"/>
      <c r="AY84" s="113"/>
      <c r="AZ84" s="113"/>
      <c r="BA84" s="113"/>
      <c r="BB84" s="113"/>
      <c r="BC84" s="113"/>
      <c r="BD84" s="113"/>
      <c r="BE84" s="113"/>
    </row>
    <row r="85" ht="15.0" customHeight="1">
      <c r="A85" s="112"/>
      <c r="B85" s="112"/>
      <c r="C85" s="112"/>
      <c r="D85" s="113"/>
      <c r="E85" s="113"/>
      <c r="F85" s="113"/>
      <c r="G85" s="113"/>
      <c r="H85" s="113"/>
      <c r="I85" s="114"/>
      <c r="J85" s="114"/>
      <c r="K85" s="114"/>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c r="AN85" s="113"/>
      <c r="AO85" s="113"/>
      <c r="AP85" s="113"/>
      <c r="AQ85" s="113"/>
      <c r="AR85" s="113"/>
      <c r="AS85" s="113"/>
      <c r="AT85" s="113"/>
      <c r="AU85" s="113"/>
      <c r="AV85" s="113"/>
      <c r="AW85" s="113"/>
      <c r="AX85" s="113"/>
      <c r="AY85" s="113"/>
      <c r="AZ85" s="113"/>
      <c r="BA85" s="113"/>
      <c r="BB85" s="113"/>
      <c r="BC85" s="113"/>
      <c r="BD85" s="113"/>
      <c r="BE85" s="113"/>
    </row>
    <row r="86" ht="15.0" customHeight="1">
      <c r="A86" s="112"/>
      <c r="B86" s="112"/>
      <c r="C86" s="112"/>
      <c r="D86" s="113"/>
      <c r="E86" s="113"/>
      <c r="F86" s="113"/>
      <c r="G86" s="113"/>
      <c r="H86" s="113"/>
      <c r="I86" s="114"/>
      <c r="J86" s="114"/>
      <c r="K86" s="114"/>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c r="AN86" s="113"/>
      <c r="AO86" s="113"/>
      <c r="AP86" s="113"/>
      <c r="AQ86" s="113"/>
      <c r="AR86" s="113"/>
      <c r="AS86" s="113"/>
      <c r="AT86" s="113"/>
      <c r="AU86" s="113"/>
      <c r="AV86" s="113"/>
      <c r="AW86" s="113"/>
      <c r="AX86" s="113"/>
      <c r="AY86" s="113"/>
      <c r="AZ86" s="113"/>
      <c r="BA86" s="113"/>
      <c r="BB86" s="113"/>
      <c r="BC86" s="113"/>
      <c r="BD86" s="113"/>
      <c r="BE86" s="113"/>
    </row>
    <row r="87" ht="15.0" customHeight="1">
      <c r="A87" s="112"/>
      <c r="B87" s="112"/>
      <c r="C87" s="112"/>
      <c r="D87" s="113"/>
      <c r="E87" s="113"/>
      <c r="F87" s="113"/>
      <c r="G87" s="113"/>
      <c r="H87" s="113"/>
      <c r="I87" s="114"/>
      <c r="J87" s="114"/>
      <c r="K87" s="114"/>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c r="AN87" s="113"/>
      <c r="AO87" s="113"/>
      <c r="AP87" s="113"/>
      <c r="AQ87" s="113"/>
      <c r="AR87" s="113"/>
      <c r="AS87" s="113"/>
      <c r="AT87" s="113"/>
      <c r="AU87" s="113"/>
      <c r="AV87" s="113"/>
      <c r="AW87" s="113"/>
      <c r="AX87" s="113"/>
      <c r="AY87" s="113"/>
      <c r="AZ87" s="113"/>
      <c r="BA87" s="113"/>
      <c r="BB87" s="113"/>
      <c r="BC87" s="113"/>
      <c r="BD87" s="113"/>
      <c r="BE87" s="113"/>
    </row>
    <row r="88" ht="15.0" customHeight="1">
      <c r="A88" s="112"/>
      <c r="B88" s="112"/>
      <c r="C88" s="112"/>
      <c r="D88" s="113"/>
      <c r="E88" s="113"/>
      <c r="F88" s="113"/>
      <c r="G88" s="113"/>
      <c r="H88" s="113"/>
      <c r="I88" s="114"/>
      <c r="J88" s="114"/>
      <c r="K88" s="114"/>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c r="AN88" s="113"/>
      <c r="AO88" s="113"/>
      <c r="AP88" s="113"/>
      <c r="AQ88" s="113"/>
      <c r="AR88" s="113"/>
      <c r="AS88" s="113"/>
      <c r="AT88" s="113"/>
      <c r="AU88" s="113"/>
      <c r="AV88" s="113"/>
      <c r="AW88" s="113"/>
      <c r="AX88" s="113"/>
      <c r="AY88" s="113"/>
      <c r="AZ88" s="113"/>
      <c r="BA88" s="113"/>
      <c r="BB88" s="113"/>
      <c r="BC88" s="113"/>
      <c r="BD88" s="113"/>
      <c r="BE88" s="113"/>
    </row>
    <row r="89" ht="15.0" customHeight="1">
      <c r="A89" s="112"/>
      <c r="B89" s="112"/>
      <c r="C89" s="112"/>
      <c r="D89" s="113"/>
      <c r="E89" s="113"/>
      <c r="F89" s="113"/>
      <c r="G89" s="113"/>
      <c r="H89" s="113"/>
      <c r="I89" s="114"/>
      <c r="J89" s="114"/>
      <c r="K89" s="114"/>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3"/>
      <c r="AT89" s="113"/>
      <c r="AU89" s="113"/>
      <c r="AV89" s="113"/>
      <c r="AW89" s="113"/>
      <c r="AX89" s="113"/>
      <c r="AY89" s="113"/>
      <c r="AZ89" s="113"/>
      <c r="BA89" s="113"/>
      <c r="BB89" s="113"/>
      <c r="BC89" s="113"/>
      <c r="BD89" s="113"/>
      <c r="BE89" s="113"/>
    </row>
    <row r="90" ht="15.0" customHeight="1">
      <c r="A90" s="112"/>
      <c r="B90" s="112"/>
      <c r="C90" s="112"/>
      <c r="D90" s="113"/>
      <c r="E90" s="113"/>
      <c r="F90" s="113"/>
      <c r="G90" s="113"/>
      <c r="H90" s="113"/>
      <c r="I90" s="114"/>
      <c r="J90" s="114"/>
      <c r="K90" s="114"/>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13"/>
      <c r="AQ90" s="113"/>
      <c r="AR90" s="113"/>
      <c r="AS90" s="113"/>
      <c r="AT90" s="113"/>
      <c r="AU90" s="113"/>
      <c r="AV90" s="113"/>
      <c r="AW90" s="113"/>
      <c r="AX90" s="113"/>
      <c r="AY90" s="113"/>
      <c r="AZ90" s="113"/>
      <c r="BA90" s="113"/>
      <c r="BB90" s="113"/>
      <c r="BC90" s="113"/>
      <c r="BD90" s="113"/>
      <c r="BE90" s="113"/>
    </row>
    <row r="91" ht="15.0" customHeight="1">
      <c r="A91" s="112"/>
      <c r="B91" s="112"/>
      <c r="C91" s="112"/>
      <c r="D91" s="113"/>
      <c r="E91" s="113"/>
      <c r="F91" s="113"/>
      <c r="G91" s="113"/>
      <c r="H91" s="113"/>
      <c r="I91" s="114"/>
      <c r="J91" s="114"/>
      <c r="K91" s="114"/>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c r="AO91" s="113"/>
      <c r="AP91" s="113"/>
      <c r="AQ91" s="113"/>
      <c r="AR91" s="113"/>
      <c r="AS91" s="113"/>
      <c r="AT91" s="113"/>
      <c r="AU91" s="113"/>
      <c r="AV91" s="113"/>
      <c r="AW91" s="113"/>
      <c r="AX91" s="113"/>
      <c r="AY91" s="113"/>
      <c r="AZ91" s="113"/>
      <c r="BA91" s="113"/>
      <c r="BB91" s="113"/>
      <c r="BC91" s="113"/>
      <c r="BD91" s="113"/>
      <c r="BE91" s="113"/>
    </row>
    <row r="92" ht="15.0" customHeight="1">
      <c r="A92" s="112"/>
      <c r="B92" s="112"/>
      <c r="C92" s="112"/>
      <c r="D92" s="113"/>
      <c r="E92" s="113"/>
      <c r="F92" s="113"/>
      <c r="G92" s="113"/>
      <c r="H92" s="113"/>
      <c r="I92" s="114"/>
      <c r="J92" s="114"/>
      <c r="K92" s="114"/>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13"/>
      <c r="AQ92" s="113"/>
      <c r="AR92" s="113"/>
      <c r="AS92" s="113"/>
      <c r="AT92" s="113"/>
      <c r="AU92" s="113"/>
      <c r="AV92" s="113"/>
      <c r="AW92" s="113"/>
      <c r="AX92" s="113"/>
      <c r="AY92" s="113"/>
      <c r="AZ92" s="113"/>
      <c r="BA92" s="113"/>
      <c r="BB92" s="113"/>
      <c r="BC92" s="113"/>
      <c r="BD92" s="113"/>
      <c r="BE92" s="113"/>
    </row>
    <row r="93" ht="15.0" customHeight="1">
      <c r="A93" s="112"/>
      <c r="B93" s="112"/>
      <c r="C93" s="112"/>
      <c r="D93" s="113"/>
      <c r="E93" s="113"/>
      <c r="F93" s="113"/>
      <c r="G93" s="113"/>
      <c r="H93" s="113"/>
      <c r="I93" s="114"/>
      <c r="J93" s="114"/>
      <c r="K93" s="114"/>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c r="AN93" s="113"/>
      <c r="AO93" s="113"/>
      <c r="AP93" s="113"/>
      <c r="AQ93" s="113"/>
      <c r="AR93" s="113"/>
      <c r="AS93" s="113"/>
      <c r="AT93" s="113"/>
      <c r="AU93" s="113"/>
      <c r="AV93" s="113"/>
      <c r="AW93" s="113"/>
      <c r="AX93" s="113"/>
      <c r="AY93" s="113"/>
      <c r="AZ93" s="113"/>
      <c r="BA93" s="113"/>
      <c r="BB93" s="113"/>
      <c r="BC93" s="113"/>
      <c r="BD93" s="113"/>
      <c r="BE93" s="113"/>
    </row>
    <row r="94" ht="15.0" customHeight="1">
      <c r="A94" s="112"/>
      <c r="B94" s="112"/>
      <c r="C94" s="112"/>
      <c r="D94" s="113"/>
      <c r="E94" s="113"/>
      <c r="F94" s="113"/>
      <c r="G94" s="113"/>
      <c r="H94" s="113"/>
      <c r="I94" s="114"/>
      <c r="J94" s="114"/>
      <c r="K94" s="114"/>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113"/>
      <c r="AX94" s="113"/>
      <c r="AY94" s="113"/>
      <c r="AZ94" s="113"/>
      <c r="BA94" s="113"/>
      <c r="BB94" s="113"/>
      <c r="BC94" s="113"/>
      <c r="BD94" s="113"/>
      <c r="BE94" s="113"/>
    </row>
    <row r="95" ht="15.0" customHeight="1">
      <c r="A95" s="112"/>
      <c r="B95" s="112"/>
      <c r="C95" s="112"/>
      <c r="D95" s="113"/>
      <c r="E95" s="113"/>
      <c r="F95" s="113"/>
      <c r="G95" s="113"/>
      <c r="H95" s="113"/>
      <c r="I95" s="114"/>
      <c r="J95" s="114"/>
      <c r="K95" s="114"/>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c r="AN95" s="113"/>
      <c r="AO95" s="113"/>
      <c r="AP95" s="113"/>
      <c r="AQ95" s="113"/>
      <c r="AR95" s="113"/>
      <c r="AS95" s="113"/>
      <c r="AT95" s="113"/>
      <c r="AU95" s="113"/>
      <c r="AV95" s="113"/>
      <c r="AW95" s="113"/>
      <c r="AX95" s="113"/>
      <c r="AY95" s="113"/>
      <c r="AZ95" s="113"/>
      <c r="BA95" s="113"/>
      <c r="BB95" s="113"/>
      <c r="BC95" s="113"/>
      <c r="BD95" s="113"/>
      <c r="BE95" s="113"/>
    </row>
    <row r="96" ht="15.0" customHeight="1">
      <c r="A96" s="112"/>
      <c r="B96" s="112"/>
      <c r="C96" s="112"/>
      <c r="D96" s="113"/>
      <c r="E96" s="113"/>
      <c r="F96" s="113"/>
      <c r="G96" s="113"/>
      <c r="H96" s="113"/>
      <c r="I96" s="114"/>
      <c r="J96" s="114"/>
      <c r="K96" s="114"/>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c r="AN96" s="113"/>
      <c r="AO96" s="113"/>
      <c r="AP96" s="113"/>
      <c r="AQ96" s="113"/>
      <c r="AR96" s="113"/>
      <c r="AS96" s="113"/>
      <c r="AT96" s="113"/>
      <c r="AU96" s="113"/>
      <c r="AV96" s="113"/>
      <c r="AW96" s="113"/>
      <c r="AX96" s="113"/>
      <c r="AY96" s="113"/>
      <c r="AZ96" s="113"/>
      <c r="BA96" s="113"/>
      <c r="BB96" s="113"/>
      <c r="BC96" s="113"/>
      <c r="BD96" s="113"/>
      <c r="BE96" s="113"/>
    </row>
    <row r="97" ht="15.0" customHeight="1">
      <c r="A97" s="112"/>
      <c r="B97" s="112"/>
      <c r="C97" s="112"/>
      <c r="D97" s="113"/>
      <c r="E97" s="113"/>
      <c r="F97" s="113"/>
      <c r="G97" s="113"/>
      <c r="H97" s="113"/>
      <c r="I97" s="114"/>
      <c r="J97" s="114"/>
      <c r="K97" s="114"/>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c r="AN97" s="113"/>
      <c r="AO97" s="113"/>
      <c r="AP97" s="113"/>
      <c r="AQ97" s="113"/>
      <c r="AR97" s="113"/>
      <c r="AS97" s="113"/>
      <c r="AT97" s="113"/>
      <c r="AU97" s="113"/>
      <c r="AV97" s="113"/>
      <c r="AW97" s="113"/>
      <c r="AX97" s="113"/>
      <c r="AY97" s="113"/>
      <c r="AZ97" s="113"/>
      <c r="BA97" s="113"/>
      <c r="BB97" s="113"/>
      <c r="BC97" s="113"/>
      <c r="BD97" s="113"/>
      <c r="BE97" s="113"/>
    </row>
    <row r="98" ht="15.0" customHeight="1">
      <c r="A98" s="112"/>
      <c r="B98" s="112"/>
      <c r="C98" s="112"/>
      <c r="D98" s="113"/>
      <c r="E98" s="113"/>
      <c r="F98" s="113"/>
      <c r="G98" s="113"/>
      <c r="H98" s="113"/>
      <c r="I98" s="114"/>
      <c r="J98" s="114"/>
      <c r="K98" s="114"/>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c r="AN98" s="113"/>
      <c r="AO98" s="113"/>
      <c r="AP98" s="113"/>
      <c r="AQ98" s="113"/>
      <c r="AR98" s="113"/>
      <c r="AS98" s="113"/>
      <c r="AT98" s="113"/>
      <c r="AU98" s="113"/>
      <c r="AV98" s="113"/>
      <c r="AW98" s="113"/>
      <c r="AX98" s="113"/>
      <c r="AY98" s="113"/>
      <c r="AZ98" s="113"/>
      <c r="BA98" s="113"/>
      <c r="BB98" s="113"/>
      <c r="BC98" s="113"/>
      <c r="BD98" s="113"/>
      <c r="BE98" s="113"/>
    </row>
    <row r="99" ht="15.0" customHeight="1">
      <c r="A99" s="112"/>
      <c r="B99" s="112"/>
      <c r="C99" s="112"/>
      <c r="D99" s="113"/>
      <c r="E99" s="113"/>
      <c r="F99" s="113"/>
      <c r="G99" s="113"/>
      <c r="H99" s="113"/>
      <c r="I99" s="114"/>
      <c r="J99" s="114"/>
      <c r="K99" s="114"/>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113"/>
      <c r="AX99" s="113"/>
      <c r="AY99" s="113"/>
      <c r="AZ99" s="113"/>
      <c r="BA99" s="113"/>
      <c r="BB99" s="113"/>
      <c r="BC99" s="113"/>
      <c r="BD99" s="113"/>
      <c r="BE99" s="113"/>
    </row>
    <row r="100" ht="15.0" customHeight="1">
      <c r="A100" s="112"/>
      <c r="B100" s="112"/>
      <c r="C100" s="112"/>
      <c r="D100" s="113"/>
      <c r="E100" s="113"/>
      <c r="F100" s="113"/>
      <c r="G100" s="113"/>
      <c r="H100" s="113"/>
      <c r="I100" s="114"/>
      <c r="J100" s="114"/>
      <c r="K100" s="114"/>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3"/>
      <c r="AO100" s="113"/>
      <c r="AP100" s="113"/>
      <c r="AQ100" s="113"/>
      <c r="AR100" s="113"/>
      <c r="AS100" s="113"/>
      <c r="AT100" s="113"/>
      <c r="AU100" s="113"/>
      <c r="AV100" s="113"/>
      <c r="AW100" s="113"/>
      <c r="AX100" s="113"/>
      <c r="AY100" s="113"/>
      <c r="AZ100" s="113"/>
      <c r="BA100" s="113"/>
      <c r="BB100" s="113"/>
      <c r="BC100" s="113"/>
      <c r="BD100" s="113"/>
      <c r="BE100" s="113"/>
    </row>
    <row r="101" ht="15.0" customHeight="1">
      <c r="A101" s="112"/>
      <c r="B101" s="112"/>
      <c r="C101" s="112"/>
      <c r="D101" s="113"/>
      <c r="E101" s="113"/>
      <c r="F101" s="113"/>
      <c r="G101" s="113"/>
      <c r="H101" s="113"/>
      <c r="I101" s="114"/>
      <c r="J101" s="114"/>
      <c r="K101" s="114"/>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c r="AO101" s="113"/>
      <c r="AP101" s="113"/>
      <c r="AQ101" s="113"/>
      <c r="AR101" s="113"/>
      <c r="AS101" s="113"/>
      <c r="AT101" s="113"/>
      <c r="AU101" s="113"/>
      <c r="AV101" s="113"/>
      <c r="AW101" s="113"/>
      <c r="AX101" s="113"/>
      <c r="AY101" s="113"/>
      <c r="AZ101" s="113"/>
      <c r="BA101" s="113"/>
      <c r="BB101" s="113"/>
      <c r="BC101" s="113"/>
      <c r="BD101" s="113"/>
      <c r="BE101" s="113"/>
    </row>
    <row r="102" ht="15.0" customHeight="1">
      <c r="A102" s="112"/>
      <c r="B102" s="112"/>
      <c r="C102" s="112"/>
      <c r="D102" s="113"/>
      <c r="E102" s="113"/>
      <c r="F102" s="113"/>
      <c r="G102" s="113"/>
      <c r="H102" s="113"/>
      <c r="I102" s="114"/>
      <c r="J102" s="114"/>
      <c r="K102" s="114"/>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3"/>
      <c r="AN102" s="113"/>
      <c r="AO102" s="113"/>
      <c r="AP102" s="113"/>
      <c r="AQ102" s="113"/>
      <c r="AR102" s="113"/>
      <c r="AS102" s="113"/>
      <c r="AT102" s="113"/>
      <c r="AU102" s="113"/>
      <c r="AV102" s="113"/>
      <c r="AW102" s="113"/>
      <c r="AX102" s="113"/>
      <c r="AY102" s="113"/>
      <c r="AZ102" s="113"/>
      <c r="BA102" s="113"/>
      <c r="BB102" s="113"/>
      <c r="BC102" s="113"/>
      <c r="BD102" s="113"/>
      <c r="BE102" s="113"/>
    </row>
    <row r="103" ht="15.0" customHeight="1">
      <c r="A103" s="112"/>
      <c r="B103" s="112"/>
      <c r="C103" s="112"/>
      <c r="D103" s="113"/>
      <c r="E103" s="113"/>
      <c r="F103" s="113"/>
      <c r="G103" s="113"/>
      <c r="H103" s="113"/>
      <c r="I103" s="114"/>
      <c r="J103" s="114"/>
      <c r="K103" s="114"/>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3"/>
      <c r="AL103" s="113"/>
      <c r="AM103" s="113"/>
      <c r="AN103" s="113"/>
      <c r="AO103" s="113"/>
      <c r="AP103" s="113"/>
      <c r="AQ103" s="113"/>
      <c r="AR103" s="113"/>
      <c r="AS103" s="113"/>
      <c r="AT103" s="113"/>
      <c r="AU103" s="113"/>
      <c r="AV103" s="113"/>
      <c r="AW103" s="113"/>
      <c r="AX103" s="113"/>
      <c r="AY103" s="113"/>
      <c r="AZ103" s="113"/>
      <c r="BA103" s="113"/>
      <c r="BB103" s="113"/>
      <c r="BC103" s="113"/>
      <c r="BD103" s="113"/>
      <c r="BE103" s="113"/>
    </row>
    <row r="104" ht="15.0" customHeight="1">
      <c r="A104" s="112"/>
      <c r="B104" s="112"/>
      <c r="C104" s="112"/>
      <c r="D104" s="113"/>
      <c r="E104" s="113"/>
      <c r="F104" s="113"/>
      <c r="G104" s="113"/>
      <c r="H104" s="113"/>
      <c r="I104" s="114"/>
      <c r="J104" s="114"/>
      <c r="K104" s="114"/>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c r="AT104" s="113"/>
      <c r="AU104" s="113"/>
      <c r="AV104" s="113"/>
      <c r="AW104" s="113"/>
      <c r="AX104" s="113"/>
      <c r="AY104" s="113"/>
      <c r="AZ104" s="113"/>
      <c r="BA104" s="113"/>
      <c r="BB104" s="113"/>
      <c r="BC104" s="113"/>
      <c r="BD104" s="113"/>
      <c r="BE104" s="113"/>
    </row>
    <row r="105" ht="15.0" customHeight="1">
      <c r="A105" s="112"/>
      <c r="B105" s="112"/>
      <c r="C105" s="112"/>
      <c r="D105" s="113"/>
      <c r="E105" s="113"/>
      <c r="F105" s="113"/>
      <c r="G105" s="113"/>
      <c r="H105" s="113"/>
      <c r="I105" s="114"/>
      <c r="J105" s="114"/>
      <c r="K105" s="114"/>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3"/>
      <c r="AL105" s="113"/>
      <c r="AM105" s="113"/>
      <c r="AN105" s="113"/>
      <c r="AO105" s="113"/>
      <c r="AP105" s="113"/>
      <c r="AQ105" s="113"/>
      <c r="AR105" s="113"/>
      <c r="AS105" s="113"/>
      <c r="AT105" s="113"/>
      <c r="AU105" s="113"/>
      <c r="AV105" s="113"/>
      <c r="AW105" s="113"/>
      <c r="AX105" s="113"/>
      <c r="AY105" s="113"/>
      <c r="AZ105" s="113"/>
      <c r="BA105" s="113"/>
      <c r="BB105" s="113"/>
      <c r="BC105" s="113"/>
      <c r="BD105" s="113"/>
      <c r="BE105" s="113"/>
    </row>
    <row r="106" ht="15.0" customHeight="1">
      <c r="A106" s="112"/>
      <c r="B106" s="112"/>
      <c r="C106" s="112"/>
      <c r="D106" s="113"/>
      <c r="E106" s="113"/>
      <c r="F106" s="113"/>
      <c r="G106" s="113"/>
      <c r="H106" s="113"/>
      <c r="I106" s="114"/>
      <c r="J106" s="114"/>
      <c r="K106" s="114"/>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c r="AO106" s="113"/>
      <c r="AP106" s="113"/>
      <c r="AQ106" s="113"/>
      <c r="AR106" s="113"/>
      <c r="AS106" s="113"/>
      <c r="AT106" s="113"/>
      <c r="AU106" s="113"/>
      <c r="AV106" s="113"/>
      <c r="AW106" s="113"/>
      <c r="AX106" s="113"/>
      <c r="AY106" s="113"/>
      <c r="AZ106" s="113"/>
      <c r="BA106" s="113"/>
      <c r="BB106" s="113"/>
      <c r="BC106" s="113"/>
      <c r="BD106" s="113"/>
      <c r="BE106" s="113"/>
    </row>
    <row r="107" ht="15.0" customHeight="1">
      <c r="A107" s="112"/>
      <c r="B107" s="112"/>
      <c r="C107" s="112"/>
      <c r="D107" s="113"/>
      <c r="E107" s="113"/>
      <c r="F107" s="113"/>
      <c r="G107" s="113"/>
      <c r="H107" s="113"/>
      <c r="I107" s="114"/>
      <c r="J107" s="114"/>
      <c r="K107" s="114"/>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3"/>
      <c r="BC107" s="113"/>
      <c r="BD107" s="113"/>
      <c r="BE107" s="113"/>
    </row>
    <row r="108" ht="15.0" customHeight="1">
      <c r="A108" s="112"/>
      <c r="B108" s="112"/>
      <c r="C108" s="112"/>
      <c r="D108" s="113"/>
      <c r="E108" s="113"/>
      <c r="F108" s="113"/>
      <c r="G108" s="113"/>
      <c r="H108" s="113"/>
      <c r="I108" s="114"/>
      <c r="J108" s="114"/>
      <c r="K108" s="114"/>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3"/>
      <c r="AL108" s="113"/>
      <c r="AM108" s="113"/>
      <c r="AN108" s="113"/>
      <c r="AO108" s="113"/>
      <c r="AP108" s="113"/>
      <c r="AQ108" s="113"/>
      <c r="AR108" s="113"/>
      <c r="AS108" s="113"/>
      <c r="AT108" s="113"/>
      <c r="AU108" s="113"/>
      <c r="AV108" s="113"/>
      <c r="AW108" s="113"/>
      <c r="AX108" s="113"/>
      <c r="AY108" s="113"/>
      <c r="AZ108" s="113"/>
      <c r="BA108" s="113"/>
      <c r="BB108" s="113"/>
      <c r="BC108" s="113"/>
      <c r="BD108" s="113"/>
      <c r="BE108" s="113"/>
    </row>
    <row r="109" ht="15.0" customHeight="1">
      <c r="A109" s="112"/>
      <c r="B109" s="112"/>
      <c r="C109" s="112"/>
      <c r="D109" s="113"/>
      <c r="E109" s="113"/>
      <c r="F109" s="113"/>
      <c r="G109" s="113"/>
      <c r="H109" s="113"/>
      <c r="I109" s="114"/>
      <c r="J109" s="114"/>
      <c r="K109" s="114"/>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N109" s="113"/>
      <c r="AO109" s="113"/>
      <c r="AP109" s="113"/>
      <c r="AQ109" s="113"/>
      <c r="AR109" s="113"/>
      <c r="AS109" s="113"/>
      <c r="AT109" s="113"/>
      <c r="AU109" s="113"/>
      <c r="AV109" s="113"/>
      <c r="AW109" s="113"/>
      <c r="AX109" s="113"/>
      <c r="AY109" s="113"/>
      <c r="AZ109" s="113"/>
      <c r="BA109" s="113"/>
      <c r="BB109" s="113"/>
      <c r="BC109" s="113"/>
      <c r="BD109" s="113"/>
      <c r="BE109" s="113"/>
    </row>
    <row r="110" ht="15.0" customHeight="1">
      <c r="A110" s="112"/>
      <c r="B110" s="112"/>
      <c r="C110" s="112"/>
      <c r="D110" s="113"/>
      <c r="E110" s="113"/>
      <c r="F110" s="113"/>
      <c r="G110" s="113"/>
      <c r="H110" s="113"/>
      <c r="I110" s="114"/>
      <c r="J110" s="114"/>
      <c r="K110" s="114"/>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3"/>
      <c r="AL110" s="113"/>
      <c r="AM110" s="113"/>
      <c r="AN110" s="113"/>
      <c r="AO110" s="113"/>
      <c r="AP110" s="113"/>
      <c r="AQ110" s="113"/>
      <c r="AR110" s="113"/>
      <c r="AS110" s="113"/>
      <c r="AT110" s="113"/>
      <c r="AU110" s="113"/>
      <c r="AV110" s="113"/>
      <c r="AW110" s="113"/>
      <c r="AX110" s="113"/>
      <c r="AY110" s="113"/>
      <c r="AZ110" s="113"/>
      <c r="BA110" s="113"/>
      <c r="BB110" s="113"/>
      <c r="BC110" s="113"/>
      <c r="BD110" s="113"/>
      <c r="BE110" s="113"/>
    </row>
    <row r="111" ht="15.0" customHeight="1">
      <c r="A111" s="112"/>
      <c r="B111" s="112"/>
      <c r="C111" s="112"/>
      <c r="D111" s="113"/>
      <c r="E111" s="113"/>
      <c r="F111" s="113"/>
      <c r="G111" s="113"/>
      <c r="H111" s="113"/>
      <c r="I111" s="114"/>
      <c r="J111" s="114"/>
      <c r="K111" s="114"/>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3"/>
      <c r="AL111" s="113"/>
      <c r="AM111" s="113"/>
      <c r="AN111" s="113"/>
      <c r="AO111" s="113"/>
      <c r="AP111" s="113"/>
      <c r="AQ111" s="113"/>
      <c r="AR111" s="113"/>
      <c r="AS111" s="113"/>
      <c r="AT111" s="113"/>
      <c r="AU111" s="113"/>
      <c r="AV111" s="113"/>
      <c r="AW111" s="113"/>
      <c r="AX111" s="113"/>
      <c r="AY111" s="113"/>
      <c r="AZ111" s="113"/>
      <c r="BA111" s="113"/>
      <c r="BB111" s="113"/>
      <c r="BC111" s="113"/>
      <c r="BD111" s="113"/>
      <c r="BE111" s="113"/>
    </row>
    <row r="112" ht="15.0" customHeight="1">
      <c r="A112" s="112"/>
      <c r="B112" s="112"/>
      <c r="C112" s="112"/>
      <c r="D112" s="113"/>
      <c r="E112" s="113"/>
      <c r="F112" s="113"/>
      <c r="G112" s="113"/>
      <c r="H112" s="113"/>
      <c r="I112" s="114"/>
      <c r="J112" s="114"/>
      <c r="K112" s="114"/>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3"/>
      <c r="AL112" s="113"/>
      <c r="AM112" s="113"/>
      <c r="AN112" s="113"/>
      <c r="AO112" s="113"/>
      <c r="AP112" s="113"/>
      <c r="AQ112" s="113"/>
      <c r="AR112" s="113"/>
      <c r="AS112" s="113"/>
      <c r="AT112" s="113"/>
      <c r="AU112" s="113"/>
      <c r="AV112" s="113"/>
      <c r="AW112" s="113"/>
      <c r="AX112" s="113"/>
      <c r="AY112" s="113"/>
      <c r="AZ112" s="113"/>
      <c r="BA112" s="113"/>
      <c r="BB112" s="113"/>
      <c r="BC112" s="113"/>
      <c r="BD112" s="113"/>
      <c r="BE112" s="113"/>
    </row>
    <row r="113" ht="15.0" customHeight="1">
      <c r="A113" s="112"/>
      <c r="B113" s="112"/>
      <c r="C113" s="112"/>
      <c r="D113" s="113"/>
      <c r="E113" s="113"/>
      <c r="F113" s="113"/>
      <c r="G113" s="113"/>
      <c r="H113" s="113"/>
      <c r="I113" s="114"/>
      <c r="J113" s="114"/>
      <c r="K113" s="114"/>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3"/>
      <c r="AL113" s="113"/>
      <c r="AM113" s="113"/>
      <c r="AN113" s="113"/>
      <c r="AO113" s="113"/>
      <c r="AP113" s="113"/>
      <c r="AQ113" s="113"/>
      <c r="AR113" s="113"/>
      <c r="AS113" s="113"/>
      <c r="AT113" s="113"/>
      <c r="AU113" s="113"/>
      <c r="AV113" s="113"/>
      <c r="AW113" s="113"/>
      <c r="AX113" s="113"/>
      <c r="AY113" s="113"/>
      <c r="AZ113" s="113"/>
      <c r="BA113" s="113"/>
      <c r="BB113" s="113"/>
      <c r="BC113" s="113"/>
      <c r="BD113" s="113"/>
      <c r="BE113" s="113"/>
    </row>
    <row r="114" ht="15.0" customHeight="1">
      <c r="G114" s="112"/>
      <c r="H114" s="112"/>
      <c r="I114" s="112"/>
      <c r="J114" s="112"/>
      <c r="K114" s="112"/>
      <c r="L114" s="112"/>
      <c r="M114" s="112"/>
      <c r="N114" s="112"/>
      <c r="O114" s="112"/>
      <c r="P114" s="112"/>
      <c r="Q114" s="112"/>
      <c r="R114" s="112"/>
      <c r="S114" s="112"/>
      <c r="T114" s="112"/>
      <c r="U114" s="112"/>
      <c r="V114" s="112"/>
      <c r="W114" s="112"/>
    </row>
    <row r="115" ht="15.0" customHeight="1">
      <c r="G115" s="112"/>
      <c r="H115" s="112"/>
      <c r="I115" s="112"/>
      <c r="J115" s="112"/>
      <c r="K115" s="112"/>
      <c r="L115" s="112"/>
      <c r="M115" s="112"/>
      <c r="N115" s="112"/>
      <c r="O115" s="112"/>
      <c r="P115" s="112"/>
      <c r="Q115" s="112"/>
      <c r="R115" s="112"/>
      <c r="S115" s="112"/>
      <c r="T115" s="112"/>
      <c r="U115" s="112"/>
      <c r="V115" s="112"/>
      <c r="W115" s="112"/>
    </row>
    <row r="116" ht="15.0" customHeight="1">
      <c r="G116" s="112"/>
      <c r="H116" s="112"/>
      <c r="I116" s="112"/>
      <c r="J116" s="112"/>
      <c r="K116" s="112"/>
      <c r="L116" s="112"/>
      <c r="M116" s="112"/>
      <c r="N116" s="112"/>
      <c r="O116" s="112"/>
      <c r="P116" s="112"/>
      <c r="Q116" s="112"/>
      <c r="R116" s="112"/>
      <c r="S116" s="112"/>
      <c r="T116" s="112"/>
      <c r="U116" s="112"/>
      <c r="V116" s="112"/>
      <c r="W116" s="112"/>
    </row>
    <row r="117" ht="15.0" customHeight="1">
      <c r="G117" s="112"/>
      <c r="H117" s="112"/>
      <c r="I117" s="112"/>
      <c r="J117" s="112"/>
      <c r="K117" s="112"/>
      <c r="L117" s="112"/>
      <c r="M117" s="112"/>
      <c r="N117" s="112"/>
      <c r="O117" s="112"/>
      <c r="P117" s="112"/>
      <c r="Q117" s="112"/>
      <c r="R117" s="112"/>
      <c r="S117" s="112"/>
      <c r="T117" s="112"/>
      <c r="U117" s="112"/>
      <c r="V117" s="112"/>
      <c r="W117" s="112"/>
    </row>
    <row r="118" ht="15.0" customHeight="1">
      <c r="G118" s="112"/>
      <c r="H118" s="112"/>
      <c r="I118" s="112"/>
      <c r="J118" s="112"/>
      <c r="K118" s="112"/>
      <c r="L118" s="112"/>
      <c r="M118" s="112"/>
      <c r="N118" s="112"/>
      <c r="O118" s="112"/>
      <c r="P118" s="112"/>
      <c r="Q118" s="112"/>
      <c r="R118" s="112"/>
      <c r="S118" s="112"/>
      <c r="T118" s="112"/>
      <c r="U118" s="112"/>
      <c r="V118" s="112"/>
      <c r="W118" s="112"/>
    </row>
    <row r="119" ht="14.25" customHeight="1">
      <c r="G119" s="112"/>
      <c r="H119" s="112"/>
      <c r="I119" s="112"/>
      <c r="J119" s="112"/>
      <c r="K119" s="112"/>
      <c r="L119" s="112"/>
      <c r="M119" s="112"/>
      <c r="N119" s="112"/>
      <c r="O119" s="112"/>
      <c r="P119" s="112"/>
      <c r="Q119" s="112"/>
      <c r="R119" s="112"/>
      <c r="S119" s="112"/>
      <c r="T119" s="112"/>
      <c r="U119" s="112"/>
      <c r="V119" s="112"/>
      <c r="W119" s="112"/>
    </row>
    <row r="120" ht="14.25" customHeight="1">
      <c r="G120" s="112"/>
      <c r="H120" s="112"/>
      <c r="I120" s="112"/>
      <c r="J120" s="112"/>
      <c r="K120" s="112"/>
      <c r="L120" s="112"/>
      <c r="M120" s="112"/>
      <c r="N120" s="112"/>
      <c r="O120" s="112"/>
      <c r="P120" s="112"/>
      <c r="Q120" s="112"/>
      <c r="R120" s="112"/>
      <c r="S120" s="112"/>
      <c r="T120" s="112"/>
      <c r="U120" s="112"/>
      <c r="V120" s="112"/>
      <c r="W120" s="112"/>
    </row>
    <row r="121" ht="14.25" customHeight="1">
      <c r="G121" s="112"/>
      <c r="H121" s="112"/>
      <c r="I121" s="112"/>
      <c r="J121" s="112"/>
      <c r="K121" s="112"/>
      <c r="L121" s="112"/>
      <c r="M121" s="112"/>
      <c r="N121" s="112"/>
      <c r="O121" s="112"/>
      <c r="P121" s="112"/>
      <c r="Q121" s="112"/>
      <c r="R121" s="112"/>
      <c r="S121" s="112"/>
      <c r="T121" s="112"/>
      <c r="U121" s="112"/>
      <c r="V121" s="112"/>
      <c r="W121" s="112"/>
    </row>
    <row r="122" ht="14.25" customHeight="1">
      <c r="G122" s="112"/>
      <c r="H122" s="112"/>
      <c r="I122" s="112"/>
      <c r="J122" s="112"/>
      <c r="K122" s="112"/>
      <c r="L122" s="112"/>
      <c r="M122" s="112"/>
      <c r="N122" s="112"/>
      <c r="O122" s="112"/>
      <c r="P122" s="112"/>
      <c r="Q122" s="112"/>
      <c r="R122" s="112"/>
      <c r="S122" s="112"/>
      <c r="T122" s="112"/>
      <c r="U122" s="112"/>
      <c r="V122" s="112"/>
      <c r="W122" s="112"/>
    </row>
    <row r="123" ht="14.25" customHeight="1">
      <c r="G123" s="112"/>
      <c r="H123" s="112"/>
      <c r="I123" s="112"/>
      <c r="J123" s="112"/>
      <c r="K123" s="112"/>
      <c r="L123" s="112"/>
      <c r="M123" s="112"/>
      <c r="N123" s="112"/>
      <c r="O123" s="112"/>
      <c r="P123" s="112"/>
      <c r="Q123" s="112"/>
      <c r="R123" s="112"/>
      <c r="S123" s="112"/>
      <c r="T123" s="112"/>
      <c r="U123" s="112"/>
      <c r="V123" s="112"/>
      <c r="W123" s="112"/>
    </row>
    <row r="124" ht="14.25" customHeight="1">
      <c r="G124" s="112"/>
      <c r="H124" s="112"/>
      <c r="I124" s="112"/>
      <c r="J124" s="112"/>
      <c r="K124" s="112"/>
      <c r="L124" s="112"/>
      <c r="M124" s="112"/>
      <c r="N124" s="112"/>
      <c r="O124" s="112"/>
      <c r="P124" s="112"/>
      <c r="Q124" s="112"/>
      <c r="R124" s="112"/>
      <c r="S124" s="112"/>
      <c r="T124" s="112"/>
      <c r="U124" s="112"/>
      <c r="V124" s="112"/>
      <c r="W124" s="112"/>
    </row>
    <row r="125" ht="14.25" customHeight="1">
      <c r="G125" s="112"/>
      <c r="H125" s="112"/>
      <c r="I125" s="112"/>
      <c r="J125" s="112"/>
      <c r="K125" s="112"/>
      <c r="L125" s="112"/>
      <c r="M125" s="112"/>
      <c r="N125" s="112"/>
      <c r="O125" s="112"/>
      <c r="P125" s="112"/>
      <c r="Q125" s="112"/>
      <c r="R125" s="112"/>
      <c r="S125" s="112"/>
      <c r="T125" s="112"/>
      <c r="U125" s="112"/>
      <c r="V125" s="112"/>
      <c r="W125" s="112"/>
    </row>
    <row r="126" ht="14.25" customHeight="1">
      <c r="G126" s="112"/>
      <c r="H126" s="112"/>
      <c r="I126" s="112"/>
      <c r="J126" s="112"/>
      <c r="K126" s="112"/>
      <c r="L126" s="112"/>
      <c r="M126" s="112"/>
      <c r="N126" s="112"/>
      <c r="O126" s="112"/>
      <c r="P126" s="112"/>
      <c r="Q126" s="112"/>
      <c r="R126" s="112"/>
      <c r="S126" s="112"/>
      <c r="T126" s="112"/>
      <c r="U126" s="112"/>
      <c r="V126" s="112"/>
      <c r="W126" s="112"/>
    </row>
    <row r="127" ht="14.25" customHeight="1">
      <c r="G127" s="112"/>
      <c r="H127" s="112"/>
      <c r="I127" s="112"/>
      <c r="J127" s="112"/>
      <c r="K127" s="112"/>
      <c r="L127" s="112"/>
      <c r="M127" s="112"/>
      <c r="N127" s="112"/>
      <c r="O127" s="112"/>
      <c r="P127" s="112"/>
      <c r="Q127" s="112"/>
      <c r="R127" s="112"/>
      <c r="S127" s="112"/>
      <c r="T127" s="112"/>
    </row>
    <row r="128" ht="14.25" customHeight="1">
      <c r="G128" s="112"/>
      <c r="H128" s="112"/>
      <c r="I128" s="112"/>
      <c r="J128" s="112"/>
      <c r="K128" s="112"/>
      <c r="L128" s="112"/>
      <c r="M128" s="112"/>
      <c r="N128" s="112"/>
      <c r="O128" s="112"/>
      <c r="P128" s="112"/>
      <c r="Q128" s="112"/>
      <c r="R128" s="112"/>
      <c r="S128" s="112"/>
      <c r="T128" s="112"/>
    </row>
    <row r="129" ht="14.25" customHeight="1">
      <c r="G129" s="112"/>
      <c r="H129" s="112"/>
      <c r="I129" s="112"/>
      <c r="J129" s="112"/>
      <c r="K129" s="112"/>
      <c r="L129" s="112"/>
      <c r="M129" s="112"/>
      <c r="N129" s="112"/>
      <c r="O129" s="112"/>
      <c r="P129" s="112"/>
      <c r="Q129" s="112"/>
      <c r="R129" s="112"/>
      <c r="S129" s="112"/>
      <c r="T129" s="112"/>
    </row>
    <row r="130" ht="14.25" customHeight="1">
      <c r="G130" s="112"/>
      <c r="H130" s="112"/>
      <c r="I130" s="112"/>
      <c r="J130" s="112"/>
      <c r="K130" s="112"/>
      <c r="L130" s="112"/>
      <c r="M130" s="112"/>
      <c r="N130" s="112"/>
      <c r="O130" s="112"/>
      <c r="P130" s="112"/>
      <c r="Q130" s="112"/>
      <c r="R130" s="112"/>
      <c r="S130" s="112"/>
      <c r="T130" s="112"/>
    </row>
    <row r="131" ht="14.25" customHeight="1">
      <c r="L131" s="112"/>
      <c r="M131" s="112"/>
      <c r="N131" s="112"/>
    </row>
    <row r="132" ht="14.25" customHeight="1">
      <c r="L132" s="112"/>
      <c r="M132" s="112"/>
      <c r="N132" s="112"/>
    </row>
    <row r="133" ht="14.25" customHeight="1">
      <c r="L133" s="112"/>
      <c r="M133" s="112"/>
      <c r="N133" s="112"/>
    </row>
    <row r="134" ht="14.25" customHeight="1">
      <c r="L134" s="112"/>
      <c r="M134" s="112"/>
      <c r="N134" s="112"/>
    </row>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4">
    <mergeCell ref="AT14:AV15"/>
    <mergeCell ref="AW14:AY15"/>
    <mergeCell ref="Y14:AA15"/>
    <mergeCell ref="AB14:AD15"/>
    <mergeCell ref="AE14:AG15"/>
    <mergeCell ref="AH14:AJ15"/>
    <mergeCell ref="AK14:AM15"/>
    <mergeCell ref="AN14:AP15"/>
    <mergeCell ref="AQ14:AS15"/>
    <mergeCell ref="A1:U1"/>
    <mergeCell ref="A2:BE2"/>
    <mergeCell ref="A3:U3"/>
    <mergeCell ref="A4:C4"/>
    <mergeCell ref="D4:H4"/>
    <mergeCell ref="A5:C5"/>
    <mergeCell ref="D5:H5"/>
    <mergeCell ref="J6:M6"/>
    <mergeCell ref="J7:M7"/>
    <mergeCell ref="J8:M8"/>
    <mergeCell ref="J5:M5"/>
    <mergeCell ref="O5:U5"/>
    <mergeCell ref="A6:C6"/>
    <mergeCell ref="D6:H6"/>
    <mergeCell ref="O6:U6"/>
    <mergeCell ref="D7:H7"/>
    <mergeCell ref="O7:U7"/>
    <mergeCell ref="O8:U8"/>
    <mergeCell ref="J11:BE11"/>
    <mergeCell ref="J12:BE12"/>
    <mergeCell ref="E12:H12"/>
    <mergeCell ref="E13:H13"/>
    <mergeCell ref="A7:C7"/>
    <mergeCell ref="A8:C8"/>
    <mergeCell ref="D8:H8"/>
    <mergeCell ref="A11:D11"/>
    <mergeCell ref="E11:I11"/>
    <mergeCell ref="A12:C12"/>
    <mergeCell ref="A13:C13"/>
    <mergeCell ref="AZ14:BB15"/>
    <mergeCell ref="BC14:BE15"/>
    <mergeCell ref="A41:C41"/>
    <mergeCell ref="D41:I41"/>
    <mergeCell ref="J41:L41"/>
    <mergeCell ref="M41:O41"/>
    <mergeCell ref="P41:R41"/>
    <mergeCell ref="S41:U41"/>
    <mergeCell ref="V41:X41"/>
    <mergeCell ref="AT41:AV41"/>
    <mergeCell ref="AW41:AY41"/>
    <mergeCell ref="AZ41:BB41"/>
    <mergeCell ref="BC41:BE41"/>
    <mergeCell ref="Y41:AA41"/>
    <mergeCell ref="AB41:AD41"/>
    <mergeCell ref="AE41:AG41"/>
    <mergeCell ref="AH41:AJ41"/>
    <mergeCell ref="AK41:AM41"/>
    <mergeCell ref="AN41:AP41"/>
    <mergeCell ref="AQ41:AS41"/>
    <mergeCell ref="A14:C14"/>
    <mergeCell ref="J14:L15"/>
    <mergeCell ref="M14:O15"/>
    <mergeCell ref="P14:R15"/>
    <mergeCell ref="S14:U15"/>
    <mergeCell ref="V14:X15"/>
    <mergeCell ref="A15:C15"/>
    <mergeCell ref="AN16:AP16"/>
    <mergeCell ref="AQ16:AS16"/>
    <mergeCell ref="AT16:AV16"/>
    <mergeCell ref="AW16:AY16"/>
    <mergeCell ref="AZ16:BB16"/>
    <mergeCell ref="BC16:BE16"/>
    <mergeCell ref="S16:U16"/>
    <mergeCell ref="V16:X16"/>
    <mergeCell ref="Y16:AA16"/>
    <mergeCell ref="AB16:AD16"/>
    <mergeCell ref="AE16:AG16"/>
    <mergeCell ref="AH16:AJ16"/>
    <mergeCell ref="AK16:AM16"/>
    <mergeCell ref="E16:H16"/>
    <mergeCell ref="E17:I18"/>
    <mergeCell ref="J17:L18"/>
    <mergeCell ref="M17:O18"/>
    <mergeCell ref="P17:R18"/>
    <mergeCell ref="S17:U18"/>
    <mergeCell ref="V17:X18"/>
    <mergeCell ref="A18:C18"/>
    <mergeCell ref="AT17:AV18"/>
    <mergeCell ref="AW17:AY18"/>
    <mergeCell ref="AZ17:BB18"/>
    <mergeCell ref="BC17:BE18"/>
    <mergeCell ref="Y17:AA18"/>
    <mergeCell ref="AB17:AD18"/>
    <mergeCell ref="AE17:AG18"/>
    <mergeCell ref="AH17:AJ18"/>
    <mergeCell ref="AK17:AM18"/>
    <mergeCell ref="AN17:AP18"/>
    <mergeCell ref="AQ17:AS18"/>
    <mergeCell ref="E14:H14"/>
    <mergeCell ref="E15:H15"/>
    <mergeCell ref="A16:C16"/>
    <mergeCell ref="J16:L16"/>
    <mergeCell ref="M16:O16"/>
    <mergeCell ref="P16:R16"/>
    <mergeCell ref="A17:C17"/>
  </mergeCells>
  <printOptions horizontalCentered="1"/>
  <pageMargins bottom="0.75" footer="0.0" header="0.0" left="0.7" right="0.7" top="0.75"/>
  <pageSetup orientation="landscape"/>
  <headerFooter>
    <oddFooter>&amp;C 803 Roper Creek Drive Greenville, SC 89615 www.swfeesaver.com</oddFooter>
  </headerFooter>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5.0"/>
    <col customWidth="1" min="2" max="3" width="7.75"/>
    <col customWidth="1" min="4" max="4" width="10.5"/>
    <col customWidth="1" min="5" max="5" width="7.75"/>
    <col customWidth="1" min="6" max="6" width="10.0"/>
    <col customWidth="1" min="7" max="7" width="17.5"/>
    <col customWidth="1" min="8" max="8" width="4.38"/>
    <col customWidth="1" min="9" max="9" width="3.88"/>
    <col customWidth="1" min="10" max="10" width="10.0"/>
    <col customWidth="1" min="11" max="11" width="3.38"/>
    <col customWidth="1" min="12" max="12" width="3.25"/>
    <col customWidth="1" min="13" max="13" width="1.63"/>
    <col customWidth="1" min="14" max="16" width="7.75"/>
    <col customWidth="1" min="17" max="17" width="4.38"/>
    <col customWidth="1" min="18" max="18" width="7.0"/>
  </cols>
  <sheetData>
    <row r="1" ht="14.25" customHeight="1">
      <c r="A1" s="1"/>
    </row>
    <row r="2" ht="60.0" customHeight="1"/>
    <row r="3" ht="21.75" customHeight="1">
      <c r="A3" s="2" t="s">
        <v>0</v>
      </c>
    </row>
    <row r="4" ht="14.25" customHeight="1">
      <c r="F4" s="3"/>
    </row>
    <row r="5" ht="14.25" customHeight="1">
      <c r="B5" s="4" t="s">
        <v>1</v>
      </c>
      <c r="E5" s="5">
        <f>'Sizing Calcs'!$D$4</f>
        <v>43831</v>
      </c>
    </row>
    <row r="6" ht="14.25" customHeight="1">
      <c r="B6" s="4" t="s">
        <v>2</v>
      </c>
      <c r="E6" s="4" t="str">
        <f>'Sizing Calcs'!$D$7</f>
        <v/>
      </c>
      <c r="K6" s="6"/>
      <c r="N6" s="6"/>
    </row>
    <row r="7" ht="14.25" customHeight="1">
      <c r="B7" s="4" t="s">
        <v>3</v>
      </c>
      <c r="E7" s="4" t="str">
        <f>'Sizing Calcs'!$D$8</f>
        <v/>
      </c>
      <c r="K7" s="6"/>
      <c r="N7" s="6"/>
    </row>
    <row r="8" ht="14.25" customHeight="1">
      <c r="B8" s="4" t="s">
        <v>4</v>
      </c>
      <c r="E8" s="4" t="str">
        <f>'Sizing Calcs'!$D$5</f>
        <v/>
      </c>
      <c r="K8" s="6"/>
      <c r="N8" s="6"/>
    </row>
    <row r="9" ht="14.25" customHeight="1">
      <c r="B9" s="4" t="s">
        <v>5</v>
      </c>
      <c r="E9" s="4" t="str">
        <f>'Sizing Calcs'!$D$6</f>
        <v/>
      </c>
      <c r="K9" s="6"/>
      <c r="N9" s="6"/>
    </row>
    <row r="10" ht="14.25" customHeight="1">
      <c r="B10" s="4" t="s">
        <v>6</v>
      </c>
      <c r="E10" s="4" t="str">
        <f>'Sizing Calcs'!O5</f>
        <v>Sediment Basin #1</v>
      </c>
      <c r="K10" s="6"/>
      <c r="L10" s="7"/>
      <c r="M10" s="7"/>
      <c r="N10" s="6"/>
      <c r="O10" s="7"/>
      <c r="P10" s="7"/>
      <c r="Q10" s="7"/>
      <c r="R10" s="7"/>
    </row>
    <row r="11" ht="14.25" customHeight="1">
      <c r="B11" s="4" t="str">
        <f>'Sizing Calcs'!J6</f>
        <v>Other 1</v>
      </c>
      <c r="E11" s="4" t="str">
        <f>'Sizing Calcs'!O6</f>
        <v/>
      </c>
      <c r="K11" s="6"/>
      <c r="L11" s="7"/>
      <c r="M11" s="7"/>
      <c r="N11" s="6"/>
      <c r="O11" s="7"/>
      <c r="P11" s="7"/>
      <c r="Q11" s="7"/>
      <c r="R11" s="7"/>
    </row>
    <row r="12" ht="14.25" customHeight="1">
      <c r="B12" s="4" t="str">
        <f>'Sizing Calcs'!J7</f>
        <v>Other 2</v>
      </c>
      <c r="E12" s="4" t="str">
        <f>'Sizing Calcs'!O7</f>
        <v/>
      </c>
      <c r="K12" s="6"/>
      <c r="L12" s="7"/>
      <c r="M12" s="7"/>
      <c r="N12" s="6"/>
      <c r="O12" s="7"/>
      <c r="P12" s="7"/>
      <c r="Q12" s="7"/>
      <c r="R12" s="7"/>
    </row>
    <row r="13" ht="14.25" customHeight="1">
      <c r="B13" s="4" t="str">
        <f>'Sizing Calcs'!J8</f>
        <v>Other 3</v>
      </c>
      <c r="E13" s="4" t="str">
        <f>'Sizing Calcs'!O8</f>
        <v/>
      </c>
      <c r="K13" s="6"/>
      <c r="L13" s="7"/>
      <c r="M13" s="7"/>
      <c r="N13" s="6"/>
      <c r="O13" s="7"/>
      <c r="P13" s="7"/>
      <c r="Q13" s="7"/>
      <c r="R13" s="7"/>
    </row>
    <row r="14" ht="14.25" customHeight="1"/>
    <row r="15" ht="14.25" customHeight="1">
      <c r="B15" s="8" t="s">
        <v>7</v>
      </c>
      <c r="C15" s="10"/>
      <c r="D15" s="10"/>
      <c r="E15" s="11"/>
      <c r="F15" s="8" t="s">
        <v>8</v>
      </c>
      <c r="G15" s="10"/>
      <c r="H15" s="10"/>
      <c r="I15" s="10"/>
      <c r="J15" s="11"/>
    </row>
    <row r="16" ht="14.25" customHeight="1">
      <c r="B16" s="18" t="s">
        <v>12</v>
      </c>
      <c r="C16" s="10"/>
      <c r="D16" s="10"/>
      <c r="E16" s="20">
        <f>'Sizing Calcs'!D12</f>
        <v>120</v>
      </c>
      <c r="F16" s="18" t="s">
        <v>19</v>
      </c>
      <c r="G16" s="10"/>
      <c r="H16" s="10"/>
      <c r="I16" s="10"/>
      <c r="J16" s="26">
        <f>'Sizing Calcs'!I12</f>
        <v>14991.66667</v>
      </c>
    </row>
    <row r="17" ht="14.25" customHeight="1">
      <c r="B17" s="18" t="s">
        <v>21</v>
      </c>
      <c r="C17" s="10"/>
      <c r="D17" s="10"/>
      <c r="E17" s="20">
        <f>'Sizing Calcs'!D13</f>
        <v>48</v>
      </c>
      <c r="F17" s="18"/>
      <c r="G17" s="10"/>
      <c r="H17" s="10"/>
      <c r="I17" s="10"/>
      <c r="J17" s="20"/>
    </row>
    <row r="18" ht="14.25" customHeight="1">
      <c r="B18" s="18" t="s">
        <v>23</v>
      </c>
      <c r="C18" s="10"/>
      <c r="D18" s="10"/>
      <c r="E18" s="20">
        <f>'Sizing Calcs'!D14</f>
        <v>3.5</v>
      </c>
      <c r="F18" s="18" t="s">
        <v>24</v>
      </c>
      <c r="G18" s="10"/>
      <c r="H18" s="10"/>
      <c r="I18" s="10"/>
      <c r="J18" s="26">
        <f>'Sizing Calcs'!I14</f>
        <v>112137.6667</v>
      </c>
    </row>
    <row r="19" ht="14.25" customHeight="1">
      <c r="B19" s="18" t="s">
        <v>25</v>
      </c>
      <c r="C19" s="10"/>
      <c r="D19" s="10"/>
      <c r="E19" s="20">
        <f>'Sizing Calcs'!D15</f>
        <v>100</v>
      </c>
      <c r="F19" s="29"/>
      <c r="G19" s="30"/>
      <c r="H19" s="30"/>
      <c r="I19" s="30"/>
      <c r="J19" s="31"/>
    </row>
    <row r="20" ht="14.25" customHeight="1">
      <c r="B20" s="18" t="s">
        <v>26</v>
      </c>
      <c r="C20" s="10"/>
      <c r="D20" s="10"/>
      <c r="E20" s="20">
        <f>'Sizing Calcs'!D16</f>
        <v>50</v>
      </c>
      <c r="F20" s="33"/>
      <c r="J20" s="38"/>
    </row>
    <row r="21" ht="14.25" customHeight="1">
      <c r="B21" s="18" t="s">
        <v>27</v>
      </c>
      <c r="C21" s="10"/>
      <c r="D21" s="10"/>
      <c r="E21" s="20">
        <f>'Sizing Calcs'!D17</f>
        <v>90</v>
      </c>
      <c r="F21" s="40"/>
      <c r="J21" s="41"/>
    </row>
    <row r="22" ht="14.25" customHeight="1">
      <c r="B22" s="18" t="s">
        <v>28</v>
      </c>
      <c r="C22" s="10"/>
      <c r="D22" s="10"/>
      <c r="E22" s="20">
        <f>'Sizing Calcs'!D18</f>
        <v>40</v>
      </c>
      <c r="F22" s="42"/>
      <c r="G22" s="43"/>
      <c r="H22" s="43"/>
      <c r="I22" s="43"/>
      <c r="J22" s="44"/>
    </row>
    <row r="23" ht="14.25" customHeight="1"/>
    <row r="24" ht="14.25" customHeight="1">
      <c r="B24" s="45" t="s">
        <v>29</v>
      </c>
      <c r="C24" s="45"/>
      <c r="D24" s="45"/>
      <c r="E24" s="45"/>
      <c r="F24" s="46">
        <f>+J16/E16*24</f>
        <v>2998.333333</v>
      </c>
      <c r="G24" s="47" t="s">
        <v>30</v>
      </c>
      <c r="H24" s="45">
        <f>'Sizing Calcs'!$D$12</f>
        <v>120</v>
      </c>
      <c r="I24" s="45" t="s">
        <v>31</v>
      </c>
    </row>
    <row r="25" ht="14.25" customHeight="1">
      <c r="B25" s="45"/>
      <c r="C25" s="45"/>
      <c r="D25" s="45"/>
      <c r="E25" s="45"/>
      <c r="F25" s="49">
        <f>+F24/86400</f>
        <v>0.0347029321</v>
      </c>
      <c r="G25" s="47" t="s">
        <v>33</v>
      </c>
      <c r="I25" s="45"/>
      <c r="J25" s="45"/>
    </row>
    <row r="26" ht="14.25" customHeight="1">
      <c r="B26" s="45"/>
      <c r="C26" s="45"/>
      <c r="D26" s="45"/>
      <c r="E26" s="45"/>
      <c r="F26" s="49"/>
      <c r="I26" s="45"/>
      <c r="J26" s="45"/>
    </row>
    <row r="27" ht="14.25" customHeight="1">
      <c r="B27" s="45" t="s">
        <v>34</v>
      </c>
      <c r="C27" s="45"/>
      <c r="D27" s="45"/>
      <c r="E27" s="45"/>
      <c r="F27" s="46">
        <f>+J16/E17*24</f>
        <v>7495.833333</v>
      </c>
      <c r="G27" s="47" t="s">
        <v>30</v>
      </c>
      <c r="H27" s="45">
        <f>'Sizing Calcs'!$D$13</f>
        <v>48</v>
      </c>
      <c r="I27" s="45" t="s">
        <v>31</v>
      </c>
    </row>
    <row r="28" ht="14.25" customHeight="1">
      <c r="B28" s="45"/>
      <c r="C28" s="45"/>
      <c r="D28" s="45"/>
      <c r="E28" s="45"/>
      <c r="F28" s="49">
        <f>+F27/86400</f>
        <v>0.08675733025</v>
      </c>
      <c r="G28" s="47" t="s">
        <v>33</v>
      </c>
      <c r="I28" s="45"/>
      <c r="J28" s="45"/>
    </row>
    <row r="29" ht="14.25" customHeight="1">
      <c r="B29" s="45"/>
      <c r="C29" s="45"/>
      <c r="D29" s="45"/>
      <c r="E29" s="45"/>
      <c r="F29" s="46"/>
      <c r="I29" s="45"/>
      <c r="J29" s="45"/>
    </row>
    <row r="30" ht="14.25" customHeight="1"/>
    <row r="31" ht="14.25" customHeight="1">
      <c r="B31" s="2" t="s">
        <v>40</v>
      </c>
    </row>
    <row r="32" ht="14.25" customHeight="1">
      <c r="B32" s="54" t="s">
        <v>41</v>
      </c>
      <c r="C32" s="54" t="s">
        <v>45</v>
      </c>
      <c r="D32" s="55" t="s">
        <v>46</v>
      </c>
      <c r="E32" s="56"/>
      <c r="F32" s="55" t="s">
        <v>51</v>
      </c>
      <c r="G32" s="56"/>
    </row>
    <row r="33" ht="14.25" customHeight="1">
      <c r="B33" s="57" t="s">
        <v>53</v>
      </c>
      <c r="C33" s="57" t="s">
        <v>56</v>
      </c>
      <c r="D33" s="58">
        <f>'Sizing Calcs'!$L$38</f>
        <v>1004.973021</v>
      </c>
      <c r="E33" s="44"/>
      <c r="F33" s="61" t="str">
        <f>'Sizing Calcs'!$J$41</f>
        <v>no</v>
      </c>
      <c r="G33" s="44"/>
    </row>
    <row r="34" ht="14.25" customHeight="1">
      <c r="B34" s="63" t="s">
        <v>53</v>
      </c>
      <c r="C34" s="63" t="s">
        <v>59</v>
      </c>
      <c r="D34" s="65">
        <f>'Sizing Calcs'!$O$38</f>
        <v>262.1593753</v>
      </c>
      <c r="E34" s="11"/>
      <c r="F34" s="67" t="str">
        <f>'Sizing Calcs'!$M$41</f>
        <v>no</v>
      </c>
      <c r="G34" s="11"/>
    </row>
    <row r="35" ht="14.25" customHeight="1">
      <c r="B35" s="63" t="s">
        <v>53</v>
      </c>
      <c r="C35" s="63" t="s">
        <v>61</v>
      </c>
      <c r="D35" s="65">
        <f>'Sizing Calcs'!$R$38</f>
        <v>217.4463558</v>
      </c>
      <c r="E35" s="11"/>
      <c r="F35" s="67" t="str">
        <f>'Sizing Calcs'!$P$41</f>
        <v>no</v>
      </c>
      <c r="G35" s="11"/>
    </row>
    <row r="36" ht="14.25" customHeight="1">
      <c r="B36" s="63" t="s">
        <v>53</v>
      </c>
      <c r="C36" s="63" t="s">
        <v>62</v>
      </c>
      <c r="D36" s="65">
        <f>'Sizing Calcs'!$U$38</f>
        <v>117.5539945</v>
      </c>
      <c r="E36" s="11"/>
      <c r="F36" s="67" t="str">
        <f>'Sizing Calcs'!$S$41</f>
        <v>MF 2" - 1.5" Orifice</v>
      </c>
      <c r="G36" s="11"/>
    </row>
    <row r="37" ht="14.25" customHeight="1">
      <c r="B37" s="70" t="s">
        <v>53</v>
      </c>
      <c r="C37" s="70" t="s">
        <v>53</v>
      </c>
      <c r="D37" s="71">
        <f>'Sizing Calcs'!$X$38</f>
        <v>71.74034527</v>
      </c>
      <c r="E37" s="56"/>
      <c r="F37" s="73" t="str">
        <f>'Sizing Calcs'!$V$41</f>
        <v>MF 2" - 2"</v>
      </c>
      <c r="G37" s="56"/>
    </row>
    <row r="38" ht="14.25" customHeight="1">
      <c r="B38" s="63" t="s">
        <v>65</v>
      </c>
      <c r="C38" s="63" t="s">
        <v>62</v>
      </c>
      <c r="D38" s="65">
        <f>'Sizing Calcs'!$AA$38</f>
        <v>100.944763</v>
      </c>
      <c r="E38" s="11"/>
      <c r="F38" s="67" t="str">
        <f>'Sizing Calcs'!$Y$41</f>
        <v>MF 3"  - 1.5" Orifice</v>
      </c>
      <c r="G38" s="11"/>
    </row>
    <row r="39" ht="14.25" customHeight="1">
      <c r="B39" s="63" t="s">
        <v>65</v>
      </c>
      <c r="C39" s="63" t="s">
        <v>70</v>
      </c>
      <c r="D39" s="65">
        <f>'Sizing Calcs'!$AD$38</f>
        <v>55.82133075</v>
      </c>
      <c r="E39" s="11"/>
      <c r="F39" s="67" t="str">
        <f>'Sizing Calcs'!$AB$41</f>
        <v>MF 3" - 2.0" Orifice</v>
      </c>
      <c r="G39" s="11"/>
    </row>
    <row r="40" ht="14.25" customHeight="1">
      <c r="B40" s="76" t="s">
        <v>65</v>
      </c>
      <c r="C40" s="76" t="s">
        <v>76</v>
      </c>
      <c r="D40" s="65">
        <f>'Sizing Calcs'!$AG$38</f>
        <v>49.12874698</v>
      </c>
      <c r="E40" s="11"/>
      <c r="F40" s="67" t="str">
        <f>'Sizing Calcs'!$AE$41</f>
        <v>MF 3"  - 2.5" Orifice</v>
      </c>
      <c r="G40" s="11"/>
    </row>
    <row r="41" ht="14.25" customHeight="1">
      <c r="B41" s="70" t="s">
        <v>65</v>
      </c>
      <c r="C41" s="70" t="s">
        <v>65</v>
      </c>
      <c r="D41" s="71">
        <f>'Sizing Calcs'!$AJ$38</f>
        <v>26.53604472</v>
      </c>
      <c r="E41" s="56"/>
      <c r="F41" s="73" t="str">
        <f>'Sizing Calcs'!$AH$41</f>
        <v>no</v>
      </c>
      <c r="G41" s="56"/>
    </row>
    <row r="42" ht="14.25" customHeight="1">
      <c r="B42" s="76" t="s">
        <v>83</v>
      </c>
      <c r="C42" s="76" t="s">
        <v>70</v>
      </c>
      <c r="D42" s="65">
        <f>'Sizing Calcs'!$AM$38</f>
        <v>51.08483571</v>
      </c>
      <c r="E42" s="11"/>
      <c r="F42" s="67" t="str">
        <f>'Sizing Calcs'!$AK$41</f>
        <v>MF 4" - 2.0" Orifice</v>
      </c>
      <c r="G42" s="11"/>
    </row>
    <row r="43" ht="14.25" customHeight="1">
      <c r="B43" s="76" t="s">
        <v>83</v>
      </c>
      <c r="C43" s="76" t="s">
        <v>76</v>
      </c>
      <c r="D43" s="65">
        <f>'Sizing Calcs'!$AP$38</f>
        <v>31.64903127</v>
      </c>
      <c r="E43" s="11"/>
      <c r="F43" s="67" t="str">
        <f>'Sizing Calcs'!$AN$41</f>
        <v>no</v>
      </c>
      <c r="G43" s="11"/>
    </row>
    <row r="44" ht="14.25" customHeight="1">
      <c r="B44" s="79" t="s">
        <v>83</v>
      </c>
      <c r="C44" s="79" t="s">
        <v>96</v>
      </c>
      <c r="D44" s="65">
        <f>'Sizing Calcs'!$AS$38</f>
        <v>21.95053981</v>
      </c>
      <c r="E44" s="11"/>
      <c r="F44" s="67" t="str">
        <f>'Sizing Calcs'!$AQ$41</f>
        <v>no</v>
      </c>
      <c r="G44" s="11"/>
    </row>
    <row r="45" ht="14.25" customHeight="1">
      <c r="B45" s="70" t="s">
        <v>83</v>
      </c>
      <c r="C45" s="70" t="s">
        <v>83</v>
      </c>
      <c r="D45" s="71">
        <f>'Sizing Calcs'!$AV$38</f>
        <v>17.66867661</v>
      </c>
      <c r="E45" s="56"/>
      <c r="F45" s="73" t="str">
        <f>'Sizing Calcs'!$AT$41</f>
        <v>no</v>
      </c>
      <c r="G45" s="56"/>
    </row>
    <row r="46" ht="14.25" customHeight="1">
      <c r="B46" s="76">
        <v>3.0</v>
      </c>
      <c r="C46" s="76" t="s">
        <v>97</v>
      </c>
      <c r="D46" s="58">
        <f>'Sizing Calcs'!$AY$38</f>
        <v>7.419843019</v>
      </c>
      <c r="E46" s="44"/>
      <c r="F46" s="61" t="str">
        <f>'Sizing Calcs'!$AW$41</f>
        <v>no</v>
      </c>
      <c r="G46" s="44"/>
    </row>
    <row r="47" ht="14.25" customHeight="1">
      <c r="B47" s="63">
        <v>3.0</v>
      </c>
      <c r="C47" s="63" t="s">
        <v>98</v>
      </c>
      <c r="D47" s="65">
        <f>'Sizing Calcs'!$BB$38</f>
        <v>5.632979282</v>
      </c>
      <c r="E47" s="11"/>
      <c r="F47" s="67" t="str">
        <f>'Sizing Calcs'!$AZ$41</f>
        <v>no</v>
      </c>
      <c r="G47" s="11"/>
    </row>
    <row r="48" ht="14.25" customHeight="1">
      <c r="B48" s="70">
        <v>3.0</v>
      </c>
      <c r="C48" s="70" t="s">
        <v>99</v>
      </c>
      <c r="D48" s="71">
        <f>'Sizing Calcs'!$BE$38</f>
        <v>5.253374118</v>
      </c>
      <c r="E48" s="56"/>
      <c r="F48" s="73" t="str">
        <f>'Sizing Calcs'!$BC$41</f>
        <v>no</v>
      </c>
      <c r="G48" s="56"/>
    </row>
    <row r="49" ht="14.25" customHeight="1">
      <c r="B49" s="83"/>
      <c r="C49" s="83"/>
    </row>
    <row r="50" ht="14.25" customHeight="1">
      <c r="B50" s="83"/>
      <c r="C50" s="83"/>
    </row>
    <row r="51" ht="14.25" customHeight="1">
      <c r="B51" s="83"/>
      <c r="C51" s="83"/>
    </row>
    <row r="52" ht="14.25" customHeight="1">
      <c r="B52" s="83"/>
      <c r="C52" s="83"/>
    </row>
    <row r="53" ht="14.25" customHeight="1">
      <c r="B53" s="83"/>
      <c r="C53" s="83"/>
    </row>
    <row r="54" ht="14.25" customHeight="1">
      <c r="B54" s="83"/>
      <c r="C54" s="83"/>
    </row>
    <row r="55" ht="14.25" customHeight="1">
      <c r="B55" s="83"/>
      <c r="C55" s="83"/>
    </row>
    <row r="56" ht="14.25" customHeight="1">
      <c r="B56" s="83"/>
      <c r="C56" s="83"/>
    </row>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8">
    <mergeCell ref="B19:D19"/>
    <mergeCell ref="B20:D20"/>
    <mergeCell ref="B21:D21"/>
    <mergeCell ref="B22:D22"/>
    <mergeCell ref="B31:G31"/>
    <mergeCell ref="D32:E32"/>
    <mergeCell ref="F32:G32"/>
    <mergeCell ref="D33:E33"/>
    <mergeCell ref="F33:G33"/>
    <mergeCell ref="D34:E34"/>
    <mergeCell ref="F34:G34"/>
    <mergeCell ref="D35:E35"/>
    <mergeCell ref="F35:G35"/>
    <mergeCell ref="F36:G36"/>
    <mergeCell ref="D43:E43"/>
    <mergeCell ref="D44:E44"/>
    <mergeCell ref="D45:E45"/>
    <mergeCell ref="D46:E46"/>
    <mergeCell ref="D47:E47"/>
    <mergeCell ref="D48:E48"/>
    <mergeCell ref="D36:E36"/>
    <mergeCell ref="D37:E37"/>
    <mergeCell ref="D38:E38"/>
    <mergeCell ref="D39:E39"/>
    <mergeCell ref="D40:E40"/>
    <mergeCell ref="D41:E41"/>
    <mergeCell ref="D42:E42"/>
    <mergeCell ref="F44:G44"/>
    <mergeCell ref="F45:G45"/>
    <mergeCell ref="F46:G46"/>
    <mergeCell ref="F47:G47"/>
    <mergeCell ref="F48:G48"/>
    <mergeCell ref="F37:G37"/>
    <mergeCell ref="F38:G38"/>
    <mergeCell ref="F39:G39"/>
    <mergeCell ref="F40:G40"/>
    <mergeCell ref="F41:G41"/>
    <mergeCell ref="F42:G42"/>
    <mergeCell ref="F43:G43"/>
    <mergeCell ref="A1:J2"/>
    <mergeCell ref="A3:J3"/>
    <mergeCell ref="B5:D5"/>
    <mergeCell ref="E5:I5"/>
    <mergeCell ref="E6:I6"/>
    <mergeCell ref="K6:M6"/>
    <mergeCell ref="N6:R6"/>
    <mergeCell ref="K8:M8"/>
    <mergeCell ref="N8:R8"/>
    <mergeCell ref="B6:D6"/>
    <mergeCell ref="B7:D7"/>
    <mergeCell ref="E7:I7"/>
    <mergeCell ref="K7:M7"/>
    <mergeCell ref="N7:R7"/>
    <mergeCell ref="B8:D8"/>
    <mergeCell ref="E8:I8"/>
    <mergeCell ref="B9:D9"/>
    <mergeCell ref="E9:I9"/>
    <mergeCell ref="K9:M9"/>
    <mergeCell ref="N9:R9"/>
    <mergeCell ref="B10:D10"/>
    <mergeCell ref="E10:I10"/>
    <mergeCell ref="E11:I11"/>
    <mergeCell ref="B11:D11"/>
    <mergeCell ref="B12:D12"/>
    <mergeCell ref="E12:I12"/>
    <mergeCell ref="B13:D13"/>
    <mergeCell ref="E13:I13"/>
    <mergeCell ref="B15:E15"/>
    <mergeCell ref="F15:J15"/>
    <mergeCell ref="F20:I20"/>
    <mergeCell ref="F21:J22"/>
    <mergeCell ref="B16:D16"/>
    <mergeCell ref="F16:I16"/>
    <mergeCell ref="B17:D17"/>
    <mergeCell ref="F17:I17"/>
    <mergeCell ref="B18:D18"/>
    <mergeCell ref="F18:I18"/>
    <mergeCell ref="F19:I19"/>
  </mergeCell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6" width="7.75"/>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