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zing Calcs" sheetId="1" r:id="rId4"/>
    <sheet state="visible" name="Skimmer Report" sheetId="2" r:id="rId5"/>
    <sheet state="visible" name="Sheet3"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R6">
      <text>
        <t xml:space="preserve">Jamie McCutchen:
Typically 1000 CF/AC but may vary by area</t>
      </text>
    </comment>
    <comment authorId="0" ref="R7">
      <text>
        <t xml:space="preserve">Jamie McCutchen:
Typically 1800 CF/AC, but may vary by area</t>
      </text>
    </comment>
    <comment authorId="0" ref="D12">
      <text>
        <t xml:space="preserve">Longest allowable time to drain basin.  In Ohio = 168 hours. Other areas may vary</t>
      </text>
    </comment>
    <comment authorId="0" ref="I12">
      <text>
        <t xml:space="preserve">Confirm Calculated Pond Volume is similar to Required Dewatering Volume.  If not, adjust Length and Width to achieve accurate volume.  Height should be based on height in basin to obtain required dewatering volume.
</t>
      </text>
    </comment>
    <comment authorId="0" ref="D13">
      <text>
        <t xml:space="preserve">Shortest allowable time to drain basin.
In Ohio = 48
Other areas may vary
</t>
      </text>
    </comment>
    <comment authorId="0" ref="D14">
      <text>
        <t xml:space="preserve">Typically height from invert of stubout for skimmer outlet to invert of next outlet or spillway, or hieght needed for required dewatering volume
</t>
      </text>
    </comment>
    <comment authorId="0" ref="D15">
      <text>
        <t xml:space="preserve">Average Length at elevation of next outlet or spillway, not typically top of basin.  
Use elevation at top of required dewatering volume</t>
      </text>
    </comment>
    <comment authorId="0" ref="D16">
      <text>
        <t xml:space="preserve">Average Width at elevation of next outlet or spillway, not typically top of basin. Use elevation at top of required dewatering volume
Prefer 2:1 ratio for length to width
</t>
      </text>
    </comment>
    <comment authorId="0" ref="D17">
      <text>
        <t xml:space="preserve">Average Length at invert of lowest outlet/skimmer stubout.  Recommend 3:1 max side slopes.
</t>
      </text>
    </comment>
    <comment authorId="0" ref="D18">
      <text>
        <t xml:space="preserve">Average Width at invert of lowest outlet/skimmer stubout.</t>
      </text>
    </comment>
  </commentList>
</comments>
</file>

<file path=xl/sharedStrings.xml><?xml version="1.0" encoding="utf-8"?>
<sst xmlns="http://schemas.openxmlformats.org/spreadsheetml/2006/main" count="214" uniqueCount="112">
  <si>
    <t>Marlee Float Skimmer Size Selection Report</t>
  </si>
  <si>
    <t>Date</t>
  </si>
  <si>
    <t>Marlee Float™ Skimmer Size Selection Tool for areas that require a permanent sediment storage volume and temporary dewatering volume - Version 2.0</t>
  </si>
  <si>
    <t>This skimmer size selection tool is designed to more accurately calculate the draw down rate for specific skimmers based on specific basin criteria.  Although they are often referred to as constant flow devices, skimmers have been shown to actually have variable flow rates, which are dependent upon a variety of factors.  Testing is typically required to determine the actual flow rates.  The use of a calculated flow rate to select a skimmer to meet a required draw down time has been widely accepted, however, as skimmer technology advances, many regulatory agencies are moving towards requiring more accurate models.  This design tool takes into account basin size and depth, which directly correlate to skimmer flow rate.  By incorporating these factors a more accurate selection of the skimmer can be made.</t>
  </si>
  <si>
    <t>Company</t>
  </si>
  <si>
    <t>Engineer</t>
  </si>
  <si>
    <t>Project Name</t>
  </si>
  <si>
    <t>Project Location</t>
  </si>
  <si>
    <t>Basin Description</t>
  </si>
  <si>
    <t>User Entries</t>
  </si>
  <si>
    <t>Total Disturbed Area</t>
  </si>
  <si>
    <t>Acres</t>
  </si>
  <si>
    <t>Skimmer Basin 1</t>
  </si>
  <si>
    <t>Required Sediment Storage Volume:</t>
  </si>
  <si>
    <t>CF</t>
  </si>
  <si>
    <t>Disturbed Area</t>
  </si>
  <si>
    <t>Total Drainage Area</t>
  </si>
  <si>
    <t xml:space="preserve">CF/AC = </t>
  </si>
  <si>
    <t>Confirm Calculated Pond Volume is similar to Required Dewatering Volume</t>
  </si>
  <si>
    <t>Required Dewatering Volume</t>
  </si>
  <si>
    <t>Total Drainge Area</t>
  </si>
  <si>
    <t>For Calculated Pond Volume, adjust pond dimension inputs so that the volume is within 5% of Required Dewatering Volume</t>
  </si>
  <si>
    <t>Inputs</t>
  </si>
  <si>
    <t>Calculations</t>
  </si>
  <si>
    <t>Max. Time to Drain, hrs =</t>
  </si>
  <si>
    <t>Skimmer Size Selection Optimization</t>
  </si>
  <si>
    <r>
      <t>Calculated Pond Volume, ft</t>
    </r>
    <r>
      <rPr>
        <rFont val="Calibri"/>
        <color theme="1"/>
        <sz val="11.0"/>
        <vertAlign val="superscript"/>
      </rPr>
      <t>3</t>
    </r>
    <r>
      <rPr>
        <rFont val="Calibri"/>
        <color theme="1"/>
        <sz val="11.0"/>
      </rPr>
      <t xml:space="preserve"> =</t>
    </r>
  </si>
  <si>
    <r>
      <t>Calculated Pond Volume, ft</t>
    </r>
    <r>
      <rPr>
        <rFont val="Calibri"/>
        <color theme="1"/>
        <sz val="11.0"/>
        <vertAlign val="superscript"/>
      </rPr>
      <t>3</t>
    </r>
    <r>
      <rPr>
        <rFont val="Calibri"/>
        <color theme="1"/>
        <sz val="11.0"/>
      </rPr>
      <t xml:space="preserve"> =</t>
    </r>
  </si>
  <si>
    <t>Min. Time to Drain, hrs =</t>
  </si>
  <si>
    <t>Skimmer Model / Orifice Size, in</t>
  </si>
  <si>
    <t>Pond Depth, ft =</t>
  </si>
  <si>
    <t>Calculated Pond Volume, gal =</t>
  </si>
  <si>
    <t>Pond Top Length, ft =</t>
  </si>
  <si>
    <t>Pond Top Width, ft =</t>
  </si>
  <si>
    <t>Pond Bottom Length, ft =</t>
  </si>
  <si>
    <t>Pond Bottom Width, ft =</t>
  </si>
  <si>
    <t>MF 2" - 0/5" Orifice</t>
  </si>
  <si>
    <t>Minimum Average Flow Rate Allowable</t>
  </si>
  <si>
    <t>MF 2" - 0.75" Orifice</t>
  </si>
  <si>
    <t>MF 2" - 1.0" Orifice</t>
  </si>
  <si>
    <t>MF 2" - 1.5" Orifice</t>
  </si>
  <si>
    <t>MF 2" - 2"</t>
  </si>
  <si>
    <t>MF 3"  - 1.5" Orifice</t>
  </si>
  <si>
    <t>cfd to drain in</t>
  </si>
  <si>
    <t>MF 3" - 2.0" Orifice</t>
  </si>
  <si>
    <t>MF 3"  - 2.5" Orifice</t>
  </si>
  <si>
    <t>MF 3" - 3"</t>
  </si>
  <si>
    <t>MF 4" - 2.0" Orifice</t>
  </si>
  <si>
    <t>hrs</t>
  </si>
  <si>
    <t>MF 4" - 2.5" Orifice</t>
  </si>
  <si>
    <t>MF 4"  - 3.0" Orifice</t>
  </si>
  <si>
    <t>MF 4" - 4"</t>
  </si>
  <si>
    <t>Model 3  - 5.0" orifice saddle</t>
  </si>
  <si>
    <t>Model 3  - 6.0" orifice saddle</t>
  </si>
  <si>
    <t>cfs</t>
  </si>
  <si>
    <t xml:space="preserve">Model 3  - 8.0" orifice </t>
  </si>
  <si>
    <t>Maximum Average Flow Rate Allowable</t>
  </si>
  <si>
    <t>No. of Depth Increments for Calcs, in. =</t>
  </si>
  <si>
    <t>Marlee Float Selection Chart</t>
  </si>
  <si>
    <t>Model #</t>
  </si>
  <si>
    <t>Depth Increments for Calcs, in. =</t>
  </si>
  <si>
    <t>Orifice</t>
  </si>
  <si>
    <t>Draw Down Time (hrs)</t>
  </si>
  <si>
    <t>Acceptable for Basin</t>
  </si>
  <si>
    <t>2"</t>
  </si>
  <si>
    <t>Flow Rate:</t>
  </si>
  <si>
    <t>0.5"</t>
  </si>
  <si>
    <t>0.75"</t>
  </si>
  <si>
    <r>
      <rPr>
        <rFont val="Calibri"/>
        <color theme="1"/>
        <sz val="11.0"/>
        <u/>
      </rPr>
      <t>Note</t>
    </r>
    <r>
      <rPr>
        <rFont val="Calibri"/>
        <color theme="1"/>
        <sz val="11.0"/>
      </rPr>
      <t>: Equations are from product testing:</t>
    </r>
  </si>
  <si>
    <r>
      <t>1.6425*depth</t>
    </r>
    <r>
      <rPr>
        <rFont val="Times New Roman"/>
        <color theme="1"/>
        <sz val="10.0"/>
        <vertAlign val="superscript"/>
      </rPr>
      <t>0.0636</t>
    </r>
  </si>
  <si>
    <t>1.0"</t>
  </si>
  <si>
    <r>
      <t>6.4078*depth</t>
    </r>
    <r>
      <rPr>
        <rFont val="Times New Roman"/>
        <color theme="1"/>
        <sz val="10.0"/>
        <vertAlign val="superscript"/>
      </rPr>
      <t>0.0312</t>
    </r>
  </si>
  <si>
    <r>
      <t>7.5459*depth</t>
    </r>
    <r>
      <rPr>
        <rFont val="Times New Roman"/>
        <color theme="1"/>
        <sz val="10.0"/>
        <vertAlign val="superscript"/>
      </rPr>
      <t>0.0748</t>
    </r>
  </si>
  <si>
    <r>
      <t>14.221*depth</t>
    </r>
    <r>
      <rPr>
        <rFont val="Times New Roman"/>
        <color theme="1"/>
        <sz val="10.0"/>
        <vertAlign val="superscript"/>
      </rPr>
      <t>0.0401</t>
    </r>
  </si>
  <si>
    <r>
      <t>22.133*depth</t>
    </r>
    <r>
      <rPr>
        <rFont val="Times New Roman"/>
        <color theme="1"/>
        <sz val="10.0"/>
        <vertAlign val="superscript"/>
      </rPr>
      <t>0.1378</t>
    </r>
  </si>
  <si>
    <r>
      <t>16.127*depth</t>
    </r>
    <r>
      <rPr>
        <rFont val="Times New Roman"/>
        <color theme="1"/>
        <sz val="10.0"/>
        <vertAlign val="superscript"/>
      </rPr>
      <t>0.0897</t>
    </r>
  </si>
  <si>
    <r>
      <t>29.588*depth</t>
    </r>
    <r>
      <rPr>
        <rFont val="Times New Roman"/>
        <color theme="1"/>
        <sz val="10.0"/>
        <vertAlign val="superscript"/>
      </rPr>
      <t>0.0625</t>
    </r>
  </si>
  <si>
    <t>1.5"</t>
  </si>
  <si>
    <r>
      <t>32.06*depth</t>
    </r>
    <r>
      <rPr>
        <rFont val="Times New Roman"/>
        <color theme="1"/>
        <sz val="10.0"/>
        <vertAlign val="superscript"/>
      </rPr>
      <t>0.1537</t>
    </r>
  </si>
  <si>
    <r>
      <t>60.386*depth</t>
    </r>
    <r>
      <rPr>
        <rFont val="Times New Roman"/>
        <color theme="1"/>
        <sz val="10.0"/>
        <vertAlign val="superscript"/>
      </rPr>
      <t>0.12</t>
    </r>
  </si>
  <si>
    <r>
      <t>32.786*depth</t>
    </r>
    <r>
      <rPr>
        <rFont val="Times New Roman"/>
        <color theme="1"/>
        <sz val="10.0"/>
        <vertAlign val="superscript"/>
      </rPr>
      <t>0.0463</t>
    </r>
  </si>
  <si>
    <r>
      <t>48.885*depth</t>
    </r>
    <r>
      <rPr>
        <rFont val="Times New Roman"/>
        <color theme="1"/>
        <sz val="10.0"/>
        <vertAlign val="superscript"/>
      </rPr>
      <t>0.0519</t>
    </r>
  </si>
  <si>
    <r>
      <t>99.028*depth</t>
    </r>
    <r>
      <rPr>
        <rFont val="Times New Roman"/>
        <color theme="1"/>
        <sz val="10.0"/>
        <vertAlign val="superscript"/>
      </rPr>
      <t>0.0712</t>
    </r>
  </si>
  <si>
    <r>
      <t>141.13*depth</t>
    </r>
    <r>
      <rPr>
        <rFont val="Times New Roman"/>
        <color theme="1"/>
        <sz val="10.0"/>
        <vertAlign val="superscript"/>
      </rPr>
      <t>0.1432</t>
    </r>
  </si>
  <si>
    <r>
      <t>186.48*depth</t>
    </r>
    <r>
      <rPr>
        <rFont val="Times New Roman"/>
        <color theme="1"/>
        <sz val="10.0"/>
        <vertAlign val="superscript"/>
      </rPr>
      <t>0.4401</t>
    </r>
  </si>
  <si>
    <r>
      <t>248.96*depth</t>
    </r>
    <r>
      <rPr>
        <rFont val="Times New Roman"/>
        <color theme="1"/>
        <sz val="10.0"/>
        <vertAlign val="superscript"/>
      </rPr>
      <t>0.2857</t>
    </r>
  </si>
  <si>
    <r>
      <t>289.04*depth</t>
    </r>
    <r>
      <rPr>
        <rFont val="Times New Roman"/>
        <color theme="1"/>
        <sz val="10.0"/>
        <vertAlign val="superscript"/>
      </rPr>
      <t>0.2282</t>
    </r>
  </si>
  <si>
    <t>Water Level Depth, in.</t>
  </si>
  <si>
    <t>3"</t>
  </si>
  <si>
    <t>Avg. Water Level Depth, in.</t>
  </si>
  <si>
    <t>Incr. Depth, in</t>
  </si>
  <si>
    <t>L</t>
  </si>
  <si>
    <t>W</t>
  </si>
  <si>
    <t>Incr. Dis-charge, ft3</t>
  </si>
  <si>
    <t>Cumm. Dis-charge, ft3</t>
  </si>
  <si>
    <t>Cumm. Dis-charge, gal</t>
  </si>
  <si>
    <t>% of Total Volume Dis-charged</t>
  </si>
  <si>
    <t>Skimmer Flow Rate, gal/min</t>
  </si>
  <si>
    <t>2.0"</t>
  </si>
  <si>
    <t>Skimmer Flow Rate, cfs</t>
  </si>
  <si>
    <t>Cumm. Drain Time, hrs.</t>
  </si>
  <si>
    <t>2.5"</t>
  </si>
  <si>
    <t>4"</t>
  </si>
  <si>
    <t>3.0"</t>
  </si>
  <si>
    <t>5.0"</t>
  </si>
  <si>
    <t>6.0"</t>
  </si>
  <si>
    <t>8.0"</t>
  </si>
  <si>
    <t>Lowest depth that can still drain through skimmer.</t>
  </si>
  <si>
    <t>Skimmer / Orifice Combinations with Sufficient Flow:</t>
  </si>
  <si>
    <t>Skimmer draw down time for selection</t>
  </si>
  <si>
    <t xml:space="preserve">Typically recommend skimmer with draw </t>
  </si>
  <si>
    <t>down time closest to 72 hours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</si>
</sst>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409]mmmm\ d\,\ yyyy"/>
    <numFmt numFmtId="165" formatCode="_(* #,##0_);_(* \(#,##0\);_(* &quot;-&quot;??_);_(@_)"/>
    <numFmt numFmtId="166" formatCode="_(* #,##0.000_);_(* \(#,##0.000\);_(* &quot;-&quot;??_);_(@_)"/>
    <numFmt numFmtId="167" formatCode="0.0"/>
    <numFmt numFmtId="168" formatCode="0.0%"/>
  </numFmts>
  <fonts count="13">
    <font>
      <sz val="11.0"/>
      <color theme="1"/>
      <name val="Arial"/>
    </font>
    <font>
      <b/>
      <sz val="14.0"/>
      <color theme="1"/>
      <name val="Calibri"/>
    </font>
    <font>
      <b/>
      <sz val="12.0"/>
      <color theme="1"/>
      <name val="Calibri"/>
    </font>
    <font>
      <b/>
      <sz val="14.0"/>
      <color rgb="FF000000"/>
      <name val="Calibri"/>
    </font>
    <font/>
    <font>
      <sz val="11.0"/>
      <color theme="1"/>
      <name val="Calibri"/>
    </font>
    <font>
      <sz val="12.0"/>
      <color theme="1"/>
      <name val="Calibri"/>
    </font>
    <font>
      <b/>
      <sz val="11.0"/>
      <color theme="1"/>
      <name val="Calibri"/>
    </font>
    <font>
      <sz val="14.0"/>
      <color theme="1"/>
      <name val="Calibri"/>
    </font>
    <font>
      <sz val="10.0"/>
      <color theme="1"/>
      <name val="Times New Roman"/>
    </font>
    <font>
      <color theme="1"/>
      <name val="Calibri"/>
    </font>
    <font>
      <sz val="11.0"/>
      <color rgb="FF000000"/>
      <name val="Calibri"/>
    </font>
    <font>
      <b/>
      <sz val="10.0"/>
      <color theme="1"/>
      <name val="Calibri"/>
    </font>
  </fonts>
  <fills count="6">
    <fill>
      <patternFill patternType="none"/>
    </fill>
    <fill>
      <patternFill patternType="lightGray"/>
    </fill>
    <fill>
      <patternFill patternType="solid">
        <fgColor rgb="FFF9CB9C"/>
        <bgColor rgb="FFF9CB9C"/>
      </patternFill>
    </fill>
    <fill>
      <patternFill patternType="solid">
        <fgColor theme="0"/>
        <bgColor theme="0"/>
      </patternFill>
    </fill>
    <fill>
      <patternFill patternType="solid">
        <fgColor rgb="FFFFE599"/>
        <bgColor rgb="FFFFE599"/>
      </patternFill>
    </fill>
    <fill>
      <patternFill patternType="solid">
        <fgColor rgb="FFFFCC00"/>
        <bgColor rgb="FFFFCC00"/>
      </patternFill>
    </fill>
  </fills>
  <borders count="34">
    <border/>
    <border>
      <left/>
      <top/>
      <bottom/>
    </border>
    <border>
      <top/>
      <bottom/>
    </border>
    <border>
      <right/>
      <top/>
      <bottom/>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right style="thick">
        <color rgb="FF000000"/>
      </right>
      <top style="thin">
        <color rgb="FF000000"/>
      </top>
    </border>
    <border>
      <right style="thick">
        <color rgb="FF000000"/>
      </right>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ck">
        <color rgb="FF000000"/>
      </right>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right style="thick">
        <color rgb="FF000000"/>
      </right>
      <top style="thin">
        <color rgb="FF000000"/>
      </top>
      <bottom style="medium">
        <color rgb="FF000000"/>
      </bottom>
    </border>
    <border>
      <left/>
      <top style="thin">
        <color rgb="FF000000"/>
      </top>
      <bottom/>
    </border>
    <border>
      <top style="thin">
        <color rgb="FF000000"/>
      </top>
      <bottom/>
    </border>
    <border>
      <right/>
      <top style="thin">
        <color rgb="FF000000"/>
      </top>
      <bottom/>
    </border>
    <border>
      <right style="thick">
        <color rgb="FF000000"/>
      </right>
      <top style="thin">
        <color rgb="FF000000"/>
      </top>
      <bottom style="thin">
        <color rgb="FF000000"/>
      </bottom>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0" fillId="0" fontId="1" numFmtId="0" xfId="0" applyAlignment="1" applyFont="1">
      <alignment horizontal="center" vertical="top"/>
    </xf>
    <xf borderId="0" fillId="0" fontId="1" numFmtId="0" xfId="0" applyAlignment="1" applyFont="1">
      <alignment horizontal="center"/>
    </xf>
    <xf borderId="0" fillId="0" fontId="1" numFmtId="0" xfId="0" applyAlignment="1" applyFont="1">
      <alignment horizontal="left" vertical="top"/>
    </xf>
    <xf borderId="0" fillId="0" fontId="1" numFmtId="0" xfId="0" applyFont="1"/>
    <xf borderId="0" fillId="0" fontId="2" numFmtId="0" xfId="0" applyAlignment="1" applyFont="1">
      <alignment horizontal="left" vertical="center"/>
    </xf>
    <xf borderId="0" fillId="0" fontId="3" numFmtId="0" xfId="0" applyAlignment="1" applyFont="1">
      <alignment horizontal="left" readingOrder="0" vertical="top"/>
    </xf>
    <xf borderId="0" fillId="0" fontId="2" numFmtId="0" xfId="0" applyAlignment="1" applyFont="1">
      <alignment horizontal="left" shrinkToFit="0" vertical="top" wrapText="1"/>
    </xf>
    <xf borderId="0" fillId="0" fontId="2" numFmtId="164" xfId="0" applyAlignment="1" applyFont="1" applyNumberFormat="1">
      <alignment horizontal="left" vertical="center"/>
    </xf>
    <xf borderId="0" fillId="0" fontId="1" numFmtId="0" xfId="0" applyAlignment="1" applyFont="1">
      <alignment horizontal="center" vertical="center"/>
    </xf>
    <xf borderId="0" fillId="0" fontId="1" numFmtId="0" xfId="0" applyAlignment="1" applyFont="1">
      <alignment horizontal="left" vertical="center"/>
    </xf>
    <xf borderId="1" fillId="2" fontId="1" numFmtId="164" xfId="0" applyAlignment="1" applyBorder="1" applyFill="1" applyFont="1" applyNumberFormat="1">
      <alignment horizontal="left" vertical="center"/>
    </xf>
    <xf borderId="2" fillId="0" fontId="4" numFmtId="0" xfId="0" applyBorder="1" applyFont="1"/>
    <xf borderId="3" fillId="0" fontId="4" numFmtId="0" xfId="0" applyBorder="1" applyFont="1"/>
    <xf borderId="4" fillId="2" fontId="1" numFmtId="0" xfId="0" applyAlignment="1" applyBorder="1" applyFont="1">
      <alignment horizontal="left" vertical="center"/>
    </xf>
    <xf borderId="0" fillId="0" fontId="5" numFmtId="0" xfId="0" applyAlignment="1" applyFont="1">
      <alignment horizontal="left" vertical="center"/>
    </xf>
    <xf borderId="4" fillId="2" fontId="1" numFmtId="0" xfId="0" applyAlignment="1" applyBorder="1" applyFont="1">
      <alignment horizontal="center" vertical="center"/>
    </xf>
    <xf borderId="0" fillId="0" fontId="2" numFmtId="0" xfId="0" applyAlignment="1" applyFont="1">
      <alignment horizontal="right" vertical="center"/>
    </xf>
    <xf borderId="1" fillId="2" fontId="1" numFmtId="0" xfId="0" applyAlignment="1" applyBorder="1" applyFont="1">
      <alignment horizontal="left" vertical="center"/>
    </xf>
    <xf borderId="0" fillId="0" fontId="6" numFmtId="0" xfId="0" applyAlignment="1" applyFont="1">
      <alignment horizontal="left" vertical="center"/>
    </xf>
    <xf borderId="0" fillId="0" fontId="2" numFmtId="165" xfId="0" applyAlignment="1" applyFont="1" applyNumberFormat="1">
      <alignment horizontal="right" vertical="center"/>
    </xf>
    <xf borderId="1" fillId="3" fontId="1" numFmtId="0" xfId="0" applyAlignment="1" applyBorder="1" applyFill="1" applyFont="1">
      <alignment horizontal="left" vertical="center"/>
    </xf>
    <xf borderId="0" fillId="0" fontId="7" numFmtId="0" xfId="0" applyFont="1"/>
    <xf borderId="4" fillId="2" fontId="8" numFmtId="0" xfId="0" applyAlignment="1" applyBorder="1" applyFont="1">
      <alignment horizontal="center" vertical="center"/>
    </xf>
    <xf borderId="4" fillId="3" fontId="1" numFmtId="0" xfId="0" applyAlignment="1" applyBorder="1" applyFont="1">
      <alignment horizontal="left" vertical="center"/>
    </xf>
    <xf borderId="4" fillId="2" fontId="2" numFmtId="165" xfId="0" applyAlignment="1" applyBorder="1" applyFont="1" applyNumberFormat="1">
      <alignment horizontal="right" vertical="center"/>
    </xf>
    <xf borderId="4" fillId="2" fontId="1" numFmtId="165" xfId="0" applyAlignment="1" applyBorder="1" applyFont="1" applyNumberFormat="1">
      <alignment horizontal="right" vertical="center"/>
    </xf>
    <xf borderId="1" fillId="2" fontId="2" numFmtId="0" xfId="0" applyAlignment="1" applyBorder="1" applyFont="1">
      <alignment horizontal="left" shrinkToFit="0" vertical="center" wrapText="1"/>
    </xf>
    <xf borderId="4" fillId="3" fontId="2" numFmtId="0" xfId="0" applyAlignment="1" applyBorder="1" applyFont="1">
      <alignment horizontal="right" vertical="center"/>
    </xf>
    <xf borderId="0" fillId="0" fontId="2" numFmtId="0" xfId="0" applyAlignment="1" applyFont="1">
      <alignment horizontal="left" shrinkToFit="0" vertical="center" wrapText="1"/>
    </xf>
    <xf borderId="0" fillId="0" fontId="5" numFmtId="0" xfId="0" applyAlignment="1" applyFont="1">
      <alignment shrinkToFit="0" wrapText="1"/>
    </xf>
    <xf borderId="1" fillId="2" fontId="1" numFmtId="0" xfId="0" applyAlignment="1" applyBorder="1" applyFont="1">
      <alignment horizontal="left" shrinkToFit="0" vertical="center" wrapText="1"/>
    </xf>
    <xf borderId="5" fillId="0" fontId="7" numFmtId="0" xfId="0" applyAlignment="1" applyBorder="1" applyFont="1">
      <alignment horizontal="center"/>
    </xf>
    <xf borderId="6" fillId="0" fontId="4" numFmtId="0" xfId="0" applyBorder="1" applyFont="1"/>
    <xf borderId="7" fillId="0" fontId="4" numFmtId="0" xfId="0" applyBorder="1" applyFont="1"/>
    <xf borderId="0" fillId="0" fontId="5" numFmtId="0" xfId="0" applyAlignment="1" applyFont="1">
      <alignment vertical="center"/>
    </xf>
    <xf borderId="4" fillId="3" fontId="5" numFmtId="0" xfId="0" applyAlignment="1" applyBorder="1" applyFont="1">
      <alignment horizontal="left" vertical="center"/>
    </xf>
    <xf borderId="5" fillId="0" fontId="5" numFmtId="0" xfId="0" applyAlignment="1" applyBorder="1" applyFont="1">
      <alignment horizontal="right"/>
    </xf>
    <xf borderId="7" fillId="0" fontId="5" numFmtId="0" xfId="0" applyAlignment="1" applyBorder="1" applyFont="1">
      <alignment horizontal="left"/>
    </xf>
    <xf borderId="8" fillId="2" fontId="5" numFmtId="0" xfId="0" applyAlignment="1" applyBorder="1" applyFont="1">
      <alignment horizontal="left"/>
    </xf>
    <xf borderId="8" fillId="2" fontId="5" numFmtId="165" xfId="0" applyAlignment="1" applyBorder="1" applyFont="1" applyNumberFormat="1">
      <alignment horizontal="left"/>
    </xf>
    <xf borderId="5" fillId="0" fontId="9" numFmtId="0" xfId="0" applyAlignment="1" applyBorder="1" applyFont="1">
      <alignment horizontal="center" shrinkToFit="0" wrapText="1"/>
    </xf>
    <xf borderId="8" fillId="4" fontId="5" numFmtId="165" xfId="0" applyAlignment="1" applyBorder="1" applyFill="1" applyFont="1" applyNumberFormat="1">
      <alignment horizontal="left"/>
    </xf>
    <xf borderId="8" fillId="4" fontId="5" numFmtId="0" xfId="0" applyAlignment="1" applyBorder="1" applyFont="1">
      <alignment horizontal="left"/>
    </xf>
    <xf borderId="9" fillId="0" fontId="9" numFmtId="0" xfId="0" applyAlignment="1" applyBorder="1" applyFont="1">
      <alignment horizontal="center" shrinkToFit="0" wrapText="1"/>
    </xf>
    <xf borderId="9" fillId="0" fontId="5" numFmtId="0" xfId="0" applyAlignment="1" applyBorder="1" applyFont="1">
      <alignment horizontal="right"/>
    </xf>
    <xf borderId="10" fillId="0" fontId="4" numFmtId="0" xfId="0" applyBorder="1" applyFont="1"/>
    <xf borderId="10" fillId="0" fontId="9" numFmtId="0" xfId="0" applyAlignment="1" applyBorder="1" applyFont="1">
      <alignment horizontal="center" shrinkToFit="0" wrapText="1"/>
    </xf>
    <xf borderId="11" fillId="0" fontId="5" numFmtId="0" xfId="0" applyAlignment="1" applyBorder="1" applyFont="1">
      <alignment horizontal="left"/>
    </xf>
    <xf borderId="11" fillId="0" fontId="5" numFmtId="0" xfId="0" applyBorder="1" applyFont="1"/>
    <xf borderId="9" fillId="0" fontId="5" numFmtId="0" xfId="0" applyBorder="1" applyFont="1"/>
    <xf borderId="12" fillId="0" fontId="5" numFmtId="0" xfId="0" applyAlignment="1" applyBorder="1" applyFont="1">
      <alignment horizontal="right"/>
    </xf>
    <xf borderId="10" fillId="0" fontId="5" numFmtId="0" xfId="0" applyBorder="1" applyFont="1"/>
    <xf borderId="13" fillId="0" fontId="5" numFmtId="0" xfId="0" applyAlignment="1" applyBorder="1" applyFont="1">
      <alignment horizontal="left"/>
    </xf>
    <xf borderId="12" fillId="0" fontId="5" numFmtId="0" xfId="0" applyAlignment="1" applyBorder="1" applyFont="1">
      <alignment horizontal="right" vertical="center"/>
    </xf>
    <xf borderId="13" fillId="0" fontId="4" numFmtId="0" xfId="0" applyBorder="1" applyFont="1"/>
    <xf borderId="14" fillId="4" fontId="5" numFmtId="165" xfId="0" applyAlignment="1" applyBorder="1" applyFont="1" applyNumberFormat="1">
      <alignment horizontal="left"/>
    </xf>
    <xf borderId="15" fillId="0" fontId="4" numFmtId="0" xfId="0" applyBorder="1" applyFont="1"/>
    <xf borderId="16" fillId="0" fontId="4" numFmtId="0" xfId="0" applyBorder="1" applyFont="1"/>
    <xf borderId="9" fillId="0" fontId="9" numFmtId="2" xfId="0" applyAlignment="1" applyBorder="1" applyFont="1" applyNumberFormat="1">
      <alignment horizontal="center" shrinkToFit="0" vertical="center" wrapText="1"/>
    </xf>
    <xf borderId="17" fillId="0" fontId="4" numFmtId="0" xfId="0" applyBorder="1" applyFont="1"/>
    <xf borderId="11" fillId="0" fontId="4" numFmtId="0" xfId="0" applyBorder="1" applyFont="1"/>
    <xf borderId="0" fillId="0" fontId="6" numFmtId="0" xfId="0" applyFont="1"/>
    <xf borderId="18" fillId="0" fontId="4" numFmtId="0" xfId="0" applyBorder="1" applyFont="1"/>
    <xf borderId="0" fillId="0" fontId="6" numFmtId="165" xfId="0" applyFont="1" applyNumberFormat="1"/>
    <xf borderId="10" fillId="0" fontId="9" numFmtId="2" xfId="0" applyAlignment="1" applyBorder="1" applyFont="1" applyNumberFormat="1">
      <alignment horizontal="center" shrinkToFit="0" vertical="center" wrapText="1"/>
    </xf>
    <xf borderId="0" fillId="0" fontId="10" numFmtId="0" xfId="0" applyFont="1"/>
    <xf borderId="0" fillId="0" fontId="6" numFmtId="166" xfId="0" applyFont="1" applyNumberFormat="1"/>
    <xf borderId="0" fillId="0" fontId="5" numFmtId="0" xfId="0" applyAlignment="1" applyFont="1">
      <alignment horizontal="left"/>
    </xf>
    <xf borderId="12" fillId="0" fontId="4" numFmtId="0" xfId="0" applyBorder="1" applyFont="1"/>
    <xf borderId="19" fillId="0" fontId="4" numFmtId="0" xfId="0" applyBorder="1" applyFont="1"/>
    <xf borderId="20" fillId="0" fontId="5" numFmtId="0" xfId="0" applyAlignment="1" applyBorder="1" applyFont="1">
      <alignment horizontal="center"/>
    </xf>
    <xf borderId="15" fillId="0" fontId="5" numFmtId="0" xfId="0" applyAlignment="1" applyBorder="1" applyFont="1">
      <alignment horizontal="right"/>
    </xf>
    <xf borderId="21" fillId="0" fontId="11" numFmtId="0" xfId="0" applyAlignment="1" applyBorder="1" applyFont="1">
      <alignment horizontal="center" readingOrder="0"/>
    </xf>
    <xf borderId="22" fillId="0" fontId="4" numFmtId="0" xfId="0" applyBorder="1" applyFont="1"/>
    <xf borderId="16" fillId="0" fontId="5" numFmtId="0" xfId="0" applyAlignment="1" applyBorder="1" applyFont="1">
      <alignment horizontal="left"/>
    </xf>
    <xf quotePrefix="1" borderId="23" fillId="0" fontId="5" numFmtId="0" xfId="0" applyAlignment="1" applyBorder="1" applyFont="1">
      <alignment horizontal="center" vertical="center"/>
    </xf>
    <xf borderId="12" fillId="0" fontId="9" numFmtId="0" xfId="0" applyAlignment="1" applyBorder="1" applyFont="1">
      <alignment horizontal="center" vertical="center"/>
    </xf>
    <xf borderId="15" fillId="0" fontId="5" numFmtId="1" xfId="0" applyAlignment="1" applyBorder="1" applyFont="1" applyNumberFormat="1">
      <alignment horizontal="center"/>
    </xf>
    <xf borderId="0" fillId="0" fontId="9" numFmtId="0" xfId="0" applyAlignment="1" applyFont="1">
      <alignment horizontal="center" vertical="center"/>
    </xf>
    <xf borderId="15" fillId="0" fontId="5" numFmtId="167" xfId="0" applyAlignment="1" applyBorder="1" applyFont="1" applyNumberFormat="1">
      <alignment horizontal="center"/>
    </xf>
    <xf borderId="24" fillId="0" fontId="5" numFmtId="0" xfId="0" applyAlignment="1" applyBorder="1" applyFont="1">
      <alignment horizontal="center" vertical="center"/>
    </xf>
    <xf borderId="5" fillId="0" fontId="5" numFmtId="1" xfId="0" applyAlignment="1" applyBorder="1" applyFont="1" applyNumberFormat="1">
      <alignment horizontal="center"/>
    </xf>
    <xf borderId="9" fillId="0" fontId="5" numFmtId="0" xfId="0" applyAlignment="1" applyBorder="1" applyFont="1">
      <alignment horizontal="right" vertical="center"/>
    </xf>
    <xf borderId="5" fillId="0" fontId="5" numFmtId="167" xfId="0" applyAlignment="1" applyBorder="1" applyFont="1" applyNumberFormat="1">
      <alignment horizontal="center"/>
    </xf>
    <xf borderId="12" fillId="0" fontId="9" numFmtId="0" xfId="0" applyAlignment="1" applyBorder="1" applyFont="1">
      <alignment horizontal="center" shrinkToFit="0" vertical="center" wrapText="1"/>
    </xf>
    <xf borderId="0" fillId="0" fontId="9" numFmtId="0" xfId="0" applyAlignment="1" applyFont="1">
      <alignment horizontal="center" shrinkToFit="0" vertical="center" wrapText="1"/>
    </xf>
    <xf borderId="20" fillId="0" fontId="5" numFmtId="0" xfId="0" applyAlignment="1" applyBorder="1" applyFont="1">
      <alignment horizontal="center" vertical="center"/>
    </xf>
    <xf borderId="21" fillId="0" fontId="5" numFmtId="1" xfId="0" applyAlignment="1" applyBorder="1" applyFont="1" applyNumberFormat="1">
      <alignment horizontal="center"/>
    </xf>
    <xf borderId="25" fillId="0" fontId="4" numFmtId="0" xfId="0" applyBorder="1" applyFont="1"/>
    <xf borderId="21" fillId="0" fontId="5" numFmtId="167" xfId="0" applyAlignment="1" applyBorder="1" applyFont="1" applyNumberFormat="1">
      <alignment horizontal="center"/>
    </xf>
    <xf borderId="24" fillId="0" fontId="12" numFmtId="0" xfId="0" applyAlignment="1" applyBorder="1" applyFont="1">
      <alignment horizontal="center" shrinkToFit="0" wrapText="1"/>
    </xf>
    <xf borderId="26" fillId="0" fontId="12" numFmtId="0" xfId="0" applyAlignment="1" applyBorder="1" applyFont="1">
      <alignment horizontal="center" shrinkToFit="0" wrapText="1"/>
    </xf>
    <xf borderId="23" fillId="0" fontId="5" numFmtId="0" xfId="0" applyAlignment="1" applyBorder="1" applyFont="1">
      <alignment horizontal="center" vertical="center"/>
    </xf>
    <xf borderId="7" fillId="0" fontId="12" numFmtId="0" xfId="0" applyAlignment="1" applyBorder="1" applyFont="1">
      <alignment horizontal="center" shrinkToFit="0" wrapText="1"/>
    </xf>
    <xf borderId="27" fillId="0" fontId="5" numFmtId="0" xfId="0" applyAlignment="1" applyBorder="1" applyFont="1">
      <alignment horizontal="center" vertical="center"/>
    </xf>
    <xf borderId="24" fillId="0" fontId="5" numFmtId="0" xfId="0" applyAlignment="1" applyBorder="1" applyFont="1">
      <alignment horizontal="center"/>
    </xf>
    <xf borderId="24" fillId="0" fontId="5" numFmtId="1" xfId="0" applyAlignment="1" applyBorder="1" applyFont="1" applyNumberFormat="1">
      <alignment horizontal="center"/>
    </xf>
    <xf borderId="26" fillId="0" fontId="5" numFmtId="1" xfId="0" applyAlignment="1" applyBorder="1" applyFont="1" applyNumberFormat="1">
      <alignment horizontal="center"/>
    </xf>
    <xf borderId="7" fillId="0" fontId="5" numFmtId="1" xfId="0" applyAlignment="1" applyBorder="1" applyFont="1" applyNumberFormat="1">
      <alignment horizontal="center"/>
    </xf>
    <xf borderId="0" fillId="0" fontId="5" numFmtId="0" xfId="0" applyAlignment="1" applyFont="1">
      <alignment horizontal="center" vertical="center"/>
    </xf>
    <xf borderId="24" fillId="0" fontId="5" numFmtId="3" xfId="0" applyAlignment="1" applyBorder="1" applyFont="1" applyNumberFormat="1">
      <alignment horizontal="center"/>
    </xf>
    <xf borderId="24" fillId="0" fontId="5" numFmtId="168" xfId="0" applyAlignment="1" applyBorder="1" applyFont="1" applyNumberFormat="1">
      <alignment horizontal="center"/>
    </xf>
    <xf borderId="24" fillId="0" fontId="5" numFmtId="2" xfId="0" applyAlignment="1" applyBorder="1" applyFont="1" applyNumberFormat="1">
      <alignment horizontal="center"/>
    </xf>
    <xf borderId="28" fillId="0" fontId="5" numFmtId="168" xfId="0" applyAlignment="1" applyBorder="1" applyFont="1" applyNumberFormat="1">
      <alignment horizontal="center"/>
    </xf>
    <xf borderId="5" fillId="0" fontId="5" numFmtId="3" xfId="0" applyAlignment="1" applyBorder="1" applyFont="1" applyNumberFormat="1">
      <alignment horizontal="center"/>
    </xf>
    <xf borderId="20" fillId="0" fontId="5" numFmtId="1" xfId="0" applyAlignment="1" applyBorder="1" applyFont="1" applyNumberFormat="1">
      <alignment horizontal="center"/>
    </xf>
    <xf borderId="20" fillId="0" fontId="5" numFmtId="3" xfId="0" applyAlignment="1" applyBorder="1" applyFont="1" applyNumberFormat="1">
      <alignment horizontal="center"/>
    </xf>
    <xf borderId="21" fillId="0" fontId="5" numFmtId="3" xfId="0" applyAlignment="1" applyBorder="1" applyFont="1" applyNumberFormat="1">
      <alignment horizontal="center"/>
    </xf>
    <xf borderId="20" fillId="0" fontId="5" numFmtId="168" xfId="0" applyAlignment="1" applyBorder="1" applyFont="1" applyNumberFormat="1">
      <alignment horizontal="center"/>
    </xf>
    <xf borderId="20" fillId="0" fontId="5" numFmtId="2" xfId="0" applyAlignment="1" applyBorder="1" applyFont="1" applyNumberFormat="1">
      <alignment horizontal="center"/>
    </xf>
    <xf borderId="20" fillId="2" fontId="5" numFmtId="3" xfId="0" applyAlignment="1" applyBorder="1" applyFont="1" applyNumberFormat="1">
      <alignment horizontal="center"/>
    </xf>
    <xf borderId="20" fillId="2" fontId="5" numFmtId="1" xfId="0" applyAlignment="1" applyBorder="1" applyFont="1" applyNumberFormat="1">
      <alignment horizontal="center"/>
    </xf>
    <xf borderId="29" fillId="2" fontId="5" numFmtId="1" xfId="0" applyAlignment="1" applyBorder="1" applyFont="1" applyNumberFormat="1">
      <alignment horizontal="center"/>
    </xf>
    <xf borderId="20" fillId="5" fontId="5" numFmtId="1" xfId="0" applyAlignment="1" applyBorder="1" applyFill="1" applyFont="1" applyNumberFormat="1">
      <alignment horizontal="center"/>
    </xf>
    <xf borderId="23" fillId="0" fontId="5" numFmtId="0" xfId="0" applyAlignment="1" applyBorder="1" applyFont="1">
      <alignment horizontal="center"/>
    </xf>
    <xf borderId="23" fillId="0" fontId="5" numFmtId="1" xfId="0" applyAlignment="1" applyBorder="1" applyFont="1" applyNumberFormat="1">
      <alignment horizontal="center"/>
    </xf>
    <xf borderId="23" fillId="0" fontId="5" numFmtId="3" xfId="0" applyAlignment="1" applyBorder="1" applyFont="1" applyNumberFormat="1">
      <alignment horizontal="center"/>
    </xf>
    <xf borderId="15" fillId="0" fontId="5" numFmtId="3" xfId="0" applyAlignment="1" applyBorder="1" applyFont="1" applyNumberFormat="1">
      <alignment horizontal="center"/>
    </xf>
    <xf borderId="23" fillId="0" fontId="5" numFmtId="168" xfId="0" applyAlignment="1" applyBorder="1" applyFont="1" applyNumberFormat="1">
      <alignment horizontal="center"/>
    </xf>
    <xf borderId="23" fillId="0" fontId="5" numFmtId="2" xfId="0" applyAlignment="1" applyBorder="1" applyFont="1" applyNumberFormat="1">
      <alignment horizontal="center"/>
    </xf>
    <xf borderId="30" fillId="2" fontId="5" numFmtId="0" xfId="0" applyAlignment="1" applyBorder="1" applyFont="1">
      <alignment horizontal="center" shrinkToFit="0" vertical="top" wrapText="1"/>
    </xf>
    <xf borderId="31" fillId="0" fontId="4" numFmtId="0" xfId="0" applyBorder="1" applyFont="1"/>
    <xf borderId="32" fillId="0" fontId="4" numFmtId="0" xfId="0" applyBorder="1" applyFont="1"/>
    <xf borderId="5" fillId="0" fontId="7" numFmtId="168" xfId="0" applyAlignment="1" applyBorder="1" applyFont="1" applyNumberFormat="1">
      <alignment horizontal="right" shrinkToFit="0" vertical="center" wrapText="1"/>
    </xf>
    <xf borderId="5" fillId="0" fontId="7" numFmtId="167" xfId="0" applyAlignment="1" applyBorder="1" applyFont="1" applyNumberFormat="1">
      <alignment horizontal="center" shrinkToFit="0" vertical="center" wrapText="1"/>
    </xf>
    <xf borderId="33" fillId="0" fontId="4" numFmtId="0" xfId="0" applyBorder="1" applyFont="1"/>
    <xf borderId="6" fillId="0" fontId="7" numFmtId="167" xfId="0" applyAlignment="1" applyBorder="1" applyFont="1" applyNumberFormat="1">
      <alignment horizontal="center" shrinkToFit="0" vertical="center" wrapText="1"/>
    </xf>
    <xf borderId="0" fillId="0" fontId="5" numFmtId="0" xfId="0" applyAlignment="1" applyFont="1">
      <alignment horizontal="center"/>
    </xf>
    <xf borderId="0" fillId="0" fontId="5" numFmtId="1" xfId="0" applyAlignment="1" applyFont="1" applyNumberFormat="1">
      <alignment horizontal="center"/>
    </xf>
    <xf borderId="0" fillId="0" fontId="5" numFmtId="168" xfId="0" applyAlignment="1" applyFont="1" applyNumberFormat="1">
      <alignment horizontal="center"/>
    </xf>
    <xf borderId="0" fillId="0" fontId="5" numFmtId="167" xfId="0" applyAlignment="1" applyFont="1" applyNumberFormat="1">
      <alignment horizontal="center"/>
    </xf>
    <xf borderId="0" fillId="0" fontId="5" numFmtId="167" xfId="0" applyFont="1" applyNumberFormat="1"/>
    <xf borderId="4" fillId="2" fontId="5" numFmtId="1" xfId="0" applyAlignment="1" applyBorder="1" applyFont="1" applyNumberFormat="1">
      <alignment horizontal="left"/>
    </xf>
    <xf borderId="0" fillId="0" fontId="5" numFmtId="1" xfId="0" applyAlignment="1" applyFont="1" applyNumberForma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504825</xdr:colOff>
      <xdr:row>38</xdr:row>
      <xdr:rowOff>0</xdr:rowOff>
    </xdr:from>
    <xdr:ext cx="219075" cy="457200"/>
    <xdr:grpSp>
      <xdr:nvGrpSpPr>
        <xdr:cNvPr id="2" name="Shape 2"/>
        <xdr:cNvGrpSpPr/>
      </xdr:nvGrpSpPr>
      <xdr:grpSpPr>
        <a:xfrm>
          <a:off x="5122163" y="3675225"/>
          <a:ext cx="447675" cy="209550"/>
          <a:chOff x="5122163" y="3675225"/>
          <a:chExt cx="447675" cy="209550"/>
        </a:xfrm>
      </xdr:grpSpPr>
      <xdr:cxnSp>
        <xdr:nvCxnSpPr>
          <xdr:cNvPr id="3" name="Shape 3"/>
          <xdr:cNvCxnSpPr/>
        </xdr:nvCxnSpPr>
        <xdr:spPr>
          <a:xfrm rot="-5400000">
            <a:off x="5122163" y="3675225"/>
            <a:ext cx="447675" cy="209550"/>
          </a:xfrm>
          <a:prstGeom prst="straightConnector1">
            <a:avLst/>
          </a:prstGeom>
          <a:noFill/>
          <a:ln cap="flat" cmpd="sng" w="9525">
            <a:solidFill>
              <a:schemeClr val="dk1"/>
            </a:solidFill>
            <a:prstDash val="solid"/>
            <a:round/>
            <a:headEnd len="sm" w="sm" type="none"/>
            <a:tailEnd len="med" w="med" type="stealth"/>
          </a:ln>
        </xdr:spPr>
      </xdr:cxnSp>
    </xdr:grpSp>
    <xdr:clientData fLocksWithSheet="0"/>
  </xdr:oneCellAnchor>
  <xdr:oneCellAnchor>
    <xdr:from>
      <xdr:col>0</xdr:col>
      <xdr:colOff>0</xdr:colOff>
      <xdr:row>0</xdr:row>
      <xdr:rowOff>0</xdr:rowOff>
    </xdr:from>
    <xdr:ext cx="581025" cy="2095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81000" cy="133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8" width="7.63"/>
    <col customWidth="1" min="9" max="9" width="14.38"/>
    <col customWidth="1" min="10" max="10" width="7.63"/>
    <col customWidth="1" min="11" max="11" width="9.13"/>
    <col customWidth="1" min="12" max="12" width="7.63"/>
    <col customWidth="1" min="13" max="13" width="11.38"/>
    <col customWidth="1" min="14" max="14" width="7.63"/>
    <col customWidth="1" min="15" max="15" width="10.88"/>
    <col customWidth="1" min="16" max="16" width="8.25"/>
    <col customWidth="1" min="17" max="17" width="7.75"/>
    <col customWidth="1" min="18" max="18" width="7.63"/>
    <col customWidth="1" min="19" max="19" width="8.75"/>
    <col customWidth="1" min="20" max="20" width="10.63"/>
    <col customWidth="1" min="21" max="39" width="7.63"/>
    <col customWidth="1" min="40" max="41" width="9.38"/>
    <col customWidth="1" hidden="1" min="42" max="42" width="9.38"/>
    <col customWidth="1" min="43" max="57" width="7.75"/>
  </cols>
  <sheetData>
    <row r="1" ht="83.25" customHeight="1">
      <c r="A1" s="1"/>
      <c r="V1" s="3"/>
      <c r="W1" s="3"/>
      <c r="X1" s="3"/>
      <c r="Y1" s="3"/>
      <c r="Z1" s="3"/>
      <c r="AA1" s="3"/>
      <c r="AB1" s="3"/>
      <c r="AC1" s="3"/>
      <c r="AD1" s="3"/>
      <c r="AE1" s="3"/>
      <c r="AF1" s="3"/>
      <c r="AG1" s="3"/>
      <c r="AH1" s="3"/>
      <c r="AI1" s="3"/>
      <c r="AJ1" s="3"/>
      <c r="AK1" s="3"/>
      <c r="AL1" s="3"/>
      <c r="AM1" s="3"/>
    </row>
    <row r="2" ht="30.0" customHeight="1">
      <c r="A2" s="6" t="s">
        <v>2</v>
      </c>
      <c r="V2" s="6"/>
      <c r="W2" s="6"/>
      <c r="X2" s="6"/>
      <c r="Y2" s="6"/>
      <c r="Z2" s="6"/>
      <c r="AA2" s="6"/>
      <c r="AB2" s="6"/>
      <c r="AC2" s="6"/>
      <c r="AD2" s="6"/>
      <c r="AE2" s="6"/>
      <c r="AF2" s="6"/>
      <c r="AG2" s="6"/>
      <c r="AH2" s="6"/>
      <c r="AI2" s="6"/>
      <c r="AJ2" s="6"/>
      <c r="AK2" s="6"/>
      <c r="AL2" s="6"/>
      <c r="AM2" s="6"/>
    </row>
    <row r="3" ht="92.25" customHeight="1">
      <c r="A3" s="7" t="s">
        <v>3</v>
      </c>
      <c r="V3" s="9"/>
      <c r="W3" s="9"/>
      <c r="X3" s="9"/>
      <c r="Y3" s="9"/>
      <c r="Z3" s="9"/>
      <c r="AA3" s="9"/>
      <c r="AB3" s="9"/>
      <c r="AC3" s="9"/>
      <c r="AD3" s="9"/>
      <c r="AE3" s="9"/>
      <c r="AF3" s="9"/>
      <c r="AG3" s="9"/>
      <c r="AH3" s="9"/>
      <c r="AI3" s="9"/>
      <c r="AJ3" s="9"/>
      <c r="AK3" s="9"/>
      <c r="AL3" s="9"/>
      <c r="AM3" s="9"/>
    </row>
    <row r="4" ht="30.0" customHeight="1">
      <c r="A4" s="10" t="s">
        <v>1</v>
      </c>
      <c r="D4" s="11">
        <v>43831.0</v>
      </c>
      <c r="E4" s="12"/>
      <c r="F4" s="12"/>
      <c r="G4" s="12"/>
      <c r="H4" s="13"/>
      <c r="I4" s="9"/>
      <c r="J4" s="14" t="s">
        <v>9</v>
      </c>
      <c r="K4" s="16"/>
      <c r="L4" s="10"/>
      <c r="M4" s="9"/>
      <c r="N4" s="9"/>
      <c r="O4" s="9"/>
      <c r="P4" s="9"/>
      <c r="Q4" s="9"/>
      <c r="R4" s="9"/>
      <c r="S4" s="9"/>
      <c r="T4" s="9"/>
      <c r="U4" s="9"/>
      <c r="V4" s="9"/>
      <c r="W4" s="9"/>
      <c r="X4" s="9"/>
      <c r="Y4" s="9"/>
      <c r="Z4" s="9"/>
      <c r="AA4" s="9"/>
      <c r="AB4" s="9"/>
      <c r="AC4" s="9"/>
      <c r="AD4" s="9"/>
      <c r="AE4" s="9"/>
      <c r="AF4" s="9"/>
      <c r="AG4" s="9"/>
      <c r="AH4" s="9"/>
      <c r="AI4" s="9"/>
      <c r="AJ4" s="9"/>
      <c r="AK4" s="9"/>
      <c r="AL4" s="9"/>
      <c r="AM4" s="9"/>
    </row>
    <row r="5" ht="30.0" customHeight="1">
      <c r="A5" s="10" t="s">
        <v>6</v>
      </c>
      <c r="D5" s="18"/>
      <c r="E5" s="12"/>
      <c r="F5" s="12"/>
      <c r="G5" s="12"/>
      <c r="H5" s="13"/>
      <c r="I5" s="10"/>
      <c r="J5" s="10" t="s">
        <v>8</v>
      </c>
      <c r="N5" s="18" t="s">
        <v>12</v>
      </c>
      <c r="O5" s="12"/>
      <c r="P5" s="12"/>
      <c r="Q5" s="12"/>
      <c r="R5" s="12"/>
      <c r="S5" s="12"/>
      <c r="T5" s="12"/>
      <c r="U5" s="13"/>
      <c r="V5" s="10"/>
      <c r="W5" s="10"/>
      <c r="X5" s="10"/>
      <c r="Y5" s="10"/>
      <c r="Z5" s="10"/>
      <c r="AA5" s="10"/>
      <c r="AB5" s="10"/>
      <c r="AC5" s="10"/>
      <c r="AD5" s="10"/>
      <c r="AE5" s="10"/>
      <c r="AF5" s="10"/>
      <c r="AG5" s="10"/>
      <c r="AH5" s="10"/>
      <c r="AI5" s="10"/>
      <c r="AJ5" s="10"/>
      <c r="AK5" s="10"/>
      <c r="AL5" s="10"/>
      <c r="AM5" s="10"/>
    </row>
    <row r="6" ht="30.0" customHeight="1">
      <c r="A6" s="10" t="s">
        <v>7</v>
      </c>
      <c r="D6" s="18"/>
      <c r="E6" s="12"/>
      <c r="F6" s="12"/>
      <c r="G6" s="12"/>
      <c r="H6" s="13"/>
      <c r="I6" s="10"/>
      <c r="J6" s="21" t="s">
        <v>13</v>
      </c>
      <c r="K6" s="12"/>
      <c r="L6" s="12"/>
      <c r="M6" s="13"/>
      <c r="N6" s="21" t="s">
        <v>15</v>
      </c>
      <c r="O6" s="13"/>
      <c r="P6" s="23">
        <v>10.0</v>
      </c>
      <c r="Q6" s="24" t="s">
        <v>11</v>
      </c>
      <c r="R6" s="23">
        <v>1000.0</v>
      </c>
      <c r="S6" s="24" t="s">
        <v>17</v>
      </c>
      <c r="T6" s="26">
        <f t="shared" ref="T6:T7" si="1">+P6*R6</f>
        <v>10000</v>
      </c>
      <c r="U6" s="14" t="s">
        <v>14</v>
      </c>
      <c r="V6" s="10"/>
      <c r="W6" s="10"/>
      <c r="X6" s="10"/>
      <c r="Y6" s="10"/>
      <c r="Z6" s="10"/>
      <c r="AA6" s="10"/>
      <c r="AB6" s="10"/>
      <c r="AC6" s="10"/>
      <c r="AD6" s="10"/>
      <c r="AE6" s="10"/>
      <c r="AF6" s="10"/>
      <c r="AG6" s="10"/>
      <c r="AH6" s="10"/>
      <c r="AI6" s="10"/>
      <c r="AJ6" s="10"/>
      <c r="AK6" s="10"/>
      <c r="AL6" s="10"/>
      <c r="AM6" s="10"/>
    </row>
    <row r="7" ht="30.0" customHeight="1">
      <c r="A7" s="10" t="s">
        <v>4</v>
      </c>
      <c r="D7" s="18"/>
      <c r="E7" s="12"/>
      <c r="F7" s="12"/>
      <c r="G7" s="12"/>
      <c r="H7" s="13"/>
      <c r="I7" s="10"/>
      <c r="J7" s="21" t="s">
        <v>19</v>
      </c>
      <c r="K7" s="12"/>
      <c r="L7" s="12"/>
      <c r="M7" s="13"/>
      <c r="N7" s="21" t="s">
        <v>20</v>
      </c>
      <c r="O7" s="13"/>
      <c r="P7" s="23">
        <v>12.0</v>
      </c>
      <c r="Q7" s="24" t="s">
        <v>11</v>
      </c>
      <c r="R7" s="23">
        <v>1800.0</v>
      </c>
      <c r="S7" s="24" t="s">
        <v>17</v>
      </c>
      <c r="T7" s="26">
        <f t="shared" si="1"/>
        <v>21600</v>
      </c>
      <c r="U7" s="14" t="s">
        <v>14</v>
      </c>
      <c r="V7" s="10"/>
      <c r="W7" s="10"/>
      <c r="X7" s="10"/>
      <c r="Y7" s="10"/>
      <c r="Z7" s="10"/>
      <c r="AA7" s="10"/>
      <c r="AB7" s="10"/>
      <c r="AC7" s="10"/>
      <c r="AD7" s="10"/>
      <c r="AE7" s="10"/>
      <c r="AF7" s="10"/>
      <c r="AG7" s="10"/>
      <c r="AH7" s="10"/>
      <c r="AI7" s="10"/>
      <c r="AJ7" s="10"/>
      <c r="AK7" s="10"/>
      <c r="AL7" s="10"/>
      <c r="AM7" s="10"/>
    </row>
    <row r="8" ht="45.75" customHeight="1">
      <c r="A8" s="10" t="s">
        <v>5</v>
      </c>
      <c r="D8" s="18"/>
      <c r="E8" s="12"/>
      <c r="F8" s="12"/>
      <c r="G8" s="12"/>
      <c r="H8" s="13"/>
      <c r="I8" s="10"/>
      <c r="J8" s="31" t="s">
        <v>21</v>
      </c>
      <c r="K8" s="12"/>
      <c r="L8" s="12"/>
      <c r="M8" s="12"/>
      <c r="N8" s="12"/>
      <c r="O8" s="12"/>
      <c r="P8" s="12"/>
      <c r="Q8" s="12"/>
      <c r="R8" s="12"/>
      <c r="S8" s="12"/>
      <c r="T8" s="12"/>
      <c r="U8" s="13"/>
      <c r="V8" s="10"/>
      <c r="W8" s="10"/>
      <c r="X8" s="10"/>
      <c r="Y8" s="10"/>
      <c r="Z8" s="10"/>
      <c r="AA8" s="10"/>
      <c r="AB8" s="10"/>
      <c r="AC8" s="10"/>
      <c r="AD8" s="10"/>
      <c r="AE8" s="10"/>
      <c r="AF8" s="10"/>
      <c r="AG8" s="10"/>
      <c r="AH8" s="10"/>
      <c r="AI8" s="10"/>
      <c r="AJ8" s="10"/>
      <c r="AK8" s="10"/>
      <c r="AL8" s="10"/>
      <c r="AM8" s="10"/>
    </row>
    <row r="9" ht="30.0" customHeight="1">
      <c r="A9" s="10"/>
      <c r="B9" s="35"/>
      <c r="C9" s="35"/>
      <c r="D9" s="24"/>
      <c r="E9" s="36"/>
      <c r="F9" s="36"/>
      <c r="G9" s="36"/>
      <c r="H9" s="36"/>
      <c r="I9" s="24"/>
      <c r="J9" s="24"/>
      <c r="K9" s="24"/>
      <c r="L9" s="36"/>
      <c r="M9" s="36"/>
      <c r="N9" s="15"/>
      <c r="O9" s="15"/>
      <c r="P9" s="15"/>
      <c r="Q9" s="15"/>
      <c r="R9" s="15"/>
      <c r="S9" s="15"/>
      <c r="T9" s="15"/>
      <c r="U9" s="15"/>
      <c r="V9" s="10"/>
      <c r="W9" s="10"/>
      <c r="X9" s="10"/>
      <c r="Y9" s="10"/>
      <c r="Z9" s="10"/>
      <c r="AA9" s="10"/>
      <c r="AB9" s="10"/>
      <c r="AC9" s="10"/>
      <c r="AD9" s="10"/>
      <c r="AE9" s="10"/>
      <c r="AF9" s="10"/>
      <c r="AG9" s="10"/>
      <c r="AH9" s="10"/>
      <c r="AI9" s="10"/>
      <c r="AJ9" s="10"/>
      <c r="AK9" s="10"/>
      <c r="AL9" s="10"/>
      <c r="AM9" s="10"/>
    </row>
    <row r="10" ht="14.25" customHeight="1"/>
    <row r="11" ht="15.0" customHeight="1">
      <c r="A11" s="32" t="s">
        <v>22</v>
      </c>
      <c r="B11" s="33"/>
      <c r="C11" s="33"/>
      <c r="D11" s="34"/>
      <c r="E11" s="32" t="s">
        <v>23</v>
      </c>
      <c r="F11" s="33"/>
      <c r="G11" s="33"/>
      <c r="H11" s="33"/>
      <c r="I11" s="34"/>
      <c r="J11" s="32" t="s">
        <v>25</v>
      </c>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4"/>
    </row>
    <row r="12" ht="15.0" customHeight="1">
      <c r="A12" s="37" t="s">
        <v>24</v>
      </c>
      <c r="B12" s="33"/>
      <c r="C12" s="33"/>
      <c r="D12" s="39">
        <v>120.0</v>
      </c>
      <c r="E12" s="37" t="s">
        <v>27</v>
      </c>
      <c r="F12" s="33"/>
      <c r="G12" s="33"/>
      <c r="H12" s="33"/>
      <c r="I12" s="40">
        <f>+(((D$15*D$16)+4*((($D$16+$D$18)/2)*(($D$15+$D$17)/2))+(D$17*D$18))/6)*D$14</f>
        <v>21666.66667</v>
      </c>
      <c r="J12" s="41" t="s">
        <v>29</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4"/>
    </row>
    <row r="13" ht="15.0" customHeight="1">
      <c r="A13" s="37" t="s">
        <v>28</v>
      </c>
      <c r="B13" s="33"/>
      <c r="C13" s="33"/>
      <c r="D13" s="39">
        <v>48.0</v>
      </c>
      <c r="E13" s="37"/>
      <c r="F13" s="33"/>
      <c r="G13" s="33"/>
      <c r="H13" s="33"/>
      <c r="I13" s="43"/>
      <c r="J13" s="44"/>
      <c r="K13" s="47"/>
      <c r="L13" s="49"/>
      <c r="M13" s="50"/>
      <c r="N13" s="52"/>
      <c r="O13" s="49"/>
      <c r="P13" s="50"/>
      <c r="Q13" s="52"/>
      <c r="R13" s="49"/>
      <c r="S13" s="50"/>
      <c r="T13" s="52"/>
      <c r="U13" s="49"/>
      <c r="V13" s="50"/>
      <c r="W13" s="52"/>
      <c r="X13" s="49"/>
      <c r="Y13" s="50"/>
      <c r="Z13" s="52"/>
      <c r="AA13" s="49"/>
      <c r="AB13" s="50"/>
      <c r="AC13" s="52"/>
      <c r="AD13" s="49"/>
      <c r="AE13" s="50"/>
      <c r="AF13" s="52"/>
      <c r="AG13" s="49"/>
      <c r="AH13" s="50"/>
      <c r="AI13" s="52"/>
      <c r="AJ13" s="49"/>
      <c r="AK13" s="50"/>
      <c r="AL13" s="52"/>
      <c r="AM13" s="49"/>
    </row>
    <row r="14" ht="15.0" customHeight="1">
      <c r="A14" s="37" t="s">
        <v>30</v>
      </c>
      <c r="B14" s="33"/>
      <c r="C14" s="33"/>
      <c r="D14" s="39">
        <v>4.0</v>
      </c>
      <c r="E14" s="37" t="s">
        <v>31</v>
      </c>
      <c r="F14" s="33"/>
      <c r="G14" s="33"/>
      <c r="H14" s="33"/>
      <c r="I14" s="56">
        <f>+I12*7.48</f>
        <v>162066.6667</v>
      </c>
      <c r="J14" s="59" t="s">
        <v>36</v>
      </c>
      <c r="K14" s="46"/>
      <c r="L14" s="61"/>
      <c r="M14" s="59" t="s">
        <v>38</v>
      </c>
      <c r="N14" s="46"/>
      <c r="O14" s="61"/>
      <c r="P14" s="59" t="s">
        <v>39</v>
      </c>
      <c r="Q14" s="46"/>
      <c r="R14" s="61"/>
      <c r="S14" s="59" t="s">
        <v>40</v>
      </c>
      <c r="T14" s="46"/>
      <c r="U14" s="61"/>
      <c r="V14" s="59" t="s">
        <v>41</v>
      </c>
      <c r="W14" s="46"/>
      <c r="X14" s="63"/>
      <c r="Y14" s="65" t="s">
        <v>42</v>
      </c>
      <c r="Z14" s="46"/>
      <c r="AA14" s="61"/>
      <c r="AB14" s="59" t="s">
        <v>44</v>
      </c>
      <c r="AC14" s="46"/>
      <c r="AD14" s="61"/>
      <c r="AE14" s="65" t="s">
        <v>45</v>
      </c>
      <c r="AF14" s="46"/>
      <c r="AG14" s="61"/>
      <c r="AH14" s="59" t="s">
        <v>46</v>
      </c>
      <c r="AI14" s="46"/>
      <c r="AJ14" s="63"/>
      <c r="AK14" s="59" t="s">
        <v>47</v>
      </c>
      <c r="AL14" s="46"/>
      <c r="AM14" s="61"/>
      <c r="AN14" s="59" t="s">
        <v>49</v>
      </c>
      <c r="AO14" s="46"/>
      <c r="AP14" s="61"/>
      <c r="AQ14" s="65" t="s">
        <v>50</v>
      </c>
      <c r="AR14" s="46"/>
      <c r="AS14" s="61"/>
      <c r="AT14" s="59" t="s">
        <v>51</v>
      </c>
      <c r="AU14" s="46"/>
      <c r="AV14" s="63"/>
      <c r="AW14" s="59" t="s">
        <v>52</v>
      </c>
      <c r="AX14" s="46"/>
      <c r="AY14" s="61"/>
      <c r="AZ14" s="59" t="s">
        <v>53</v>
      </c>
      <c r="BA14" s="46"/>
      <c r="BB14" s="61"/>
      <c r="BC14" s="59" t="s">
        <v>55</v>
      </c>
      <c r="BD14" s="46"/>
      <c r="BE14" s="61"/>
    </row>
    <row r="15" ht="15.0" customHeight="1">
      <c r="A15" s="37" t="s">
        <v>32</v>
      </c>
      <c r="B15" s="33"/>
      <c r="C15" s="33"/>
      <c r="D15" s="39">
        <v>120.0</v>
      </c>
      <c r="E15" s="51" t="s">
        <v>57</v>
      </c>
      <c r="I15" s="68">
        <v>20.0</v>
      </c>
      <c r="J15" s="69"/>
      <c r="L15" s="55"/>
      <c r="M15" s="69"/>
      <c r="O15" s="55"/>
      <c r="P15" s="69"/>
      <c r="R15" s="55"/>
      <c r="S15" s="69"/>
      <c r="U15" s="55"/>
      <c r="V15" s="69"/>
      <c r="X15" s="70"/>
      <c r="AA15" s="55"/>
      <c r="AB15" s="69"/>
      <c r="AD15" s="55"/>
      <c r="AG15" s="55"/>
      <c r="AH15" s="69"/>
      <c r="AJ15" s="70"/>
      <c r="AK15" s="69"/>
      <c r="AM15" s="55"/>
      <c r="AN15" s="69"/>
      <c r="AP15" s="55"/>
      <c r="AS15" s="55"/>
      <c r="AT15" s="69"/>
      <c r="AV15" s="70"/>
      <c r="AW15" s="69"/>
      <c r="AY15" s="55"/>
      <c r="AZ15" s="69"/>
      <c r="BB15" s="55"/>
      <c r="BC15" s="69"/>
      <c r="BE15" s="55"/>
    </row>
    <row r="16" ht="15.0" customHeight="1">
      <c r="A16" s="37" t="s">
        <v>33</v>
      </c>
      <c r="B16" s="33"/>
      <c r="C16" s="33"/>
      <c r="D16" s="39">
        <v>60.0</v>
      </c>
      <c r="E16" s="72" t="s">
        <v>60</v>
      </c>
      <c r="F16" s="58"/>
      <c r="G16" s="58"/>
      <c r="H16" s="58"/>
      <c r="I16" s="75">
        <f>+D14*12/I15</f>
        <v>2.4</v>
      </c>
      <c r="J16" s="77" t="s">
        <v>65</v>
      </c>
      <c r="L16" s="55"/>
      <c r="M16" s="77" t="s">
        <v>65</v>
      </c>
      <c r="O16" s="55"/>
      <c r="P16" s="77" t="s">
        <v>65</v>
      </c>
      <c r="R16" s="55"/>
      <c r="S16" s="77" t="s">
        <v>65</v>
      </c>
      <c r="U16" s="55"/>
      <c r="V16" s="77" t="s">
        <v>65</v>
      </c>
      <c r="X16" s="70"/>
      <c r="Y16" s="79" t="s">
        <v>65</v>
      </c>
      <c r="AA16" s="55"/>
      <c r="AB16" s="77" t="s">
        <v>65</v>
      </c>
      <c r="AD16" s="55"/>
      <c r="AE16" s="79" t="s">
        <v>65</v>
      </c>
      <c r="AG16" s="55"/>
      <c r="AH16" s="77" t="s">
        <v>65</v>
      </c>
      <c r="AJ16" s="70"/>
      <c r="AK16" s="77" t="s">
        <v>65</v>
      </c>
      <c r="AM16" s="55"/>
      <c r="AN16" s="77" t="s">
        <v>65</v>
      </c>
      <c r="AP16" s="55"/>
      <c r="AQ16" s="79" t="s">
        <v>65</v>
      </c>
      <c r="AS16" s="55"/>
      <c r="AT16" s="77" t="s">
        <v>65</v>
      </c>
      <c r="AV16" s="70"/>
      <c r="AW16" s="77" t="s">
        <v>65</v>
      </c>
      <c r="AY16" s="55"/>
      <c r="AZ16" s="77" t="s">
        <v>65</v>
      </c>
      <c r="BB16" s="55"/>
      <c r="BC16" s="77" t="s">
        <v>65</v>
      </c>
      <c r="BE16" s="55"/>
    </row>
    <row r="17" ht="15.0" customHeight="1">
      <c r="A17" s="37" t="s">
        <v>34</v>
      </c>
      <c r="B17" s="33"/>
      <c r="C17" s="33"/>
      <c r="D17" s="39">
        <v>95.0</v>
      </c>
      <c r="E17" s="83" t="s">
        <v>68</v>
      </c>
      <c r="F17" s="46"/>
      <c r="G17" s="46"/>
      <c r="H17" s="46"/>
      <c r="I17" s="46"/>
      <c r="J17" s="85" t="s">
        <v>69</v>
      </c>
      <c r="L17" s="55"/>
      <c r="M17" s="85" t="s">
        <v>71</v>
      </c>
      <c r="O17" s="55"/>
      <c r="P17" s="85" t="s">
        <v>72</v>
      </c>
      <c r="R17" s="55"/>
      <c r="S17" s="85" t="s">
        <v>73</v>
      </c>
      <c r="U17" s="55"/>
      <c r="V17" s="85" t="s">
        <v>74</v>
      </c>
      <c r="X17" s="70"/>
      <c r="Y17" s="86" t="s">
        <v>75</v>
      </c>
      <c r="AA17" s="55"/>
      <c r="AB17" s="85" t="s">
        <v>76</v>
      </c>
      <c r="AD17" s="55"/>
      <c r="AE17" s="86" t="s">
        <v>78</v>
      </c>
      <c r="AG17" s="55"/>
      <c r="AH17" s="85" t="s">
        <v>79</v>
      </c>
      <c r="AJ17" s="70"/>
      <c r="AK17" s="85" t="s">
        <v>80</v>
      </c>
      <c r="AM17" s="55"/>
      <c r="AN17" s="85" t="s">
        <v>81</v>
      </c>
      <c r="AP17" s="55"/>
      <c r="AQ17" s="86" t="s">
        <v>82</v>
      </c>
      <c r="AS17" s="55"/>
      <c r="AT17" s="85" t="s">
        <v>83</v>
      </c>
      <c r="AV17" s="70"/>
      <c r="AW17" s="85" t="s">
        <v>84</v>
      </c>
      <c r="AY17" s="55"/>
      <c r="AZ17" s="85" t="s">
        <v>85</v>
      </c>
      <c r="BB17" s="55"/>
      <c r="BC17" s="85" t="s">
        <v>86</v>
      </c>
      <c r="BE17" s="55"/>
    </row>
    <row r="18" ht="15.0" customHeight="1">
      <c r="A18" s="37" t="s">
        <v>35</v>
      </c>
      <c r="B18" s="33"/>
      <c r="C18" s="33"/>
      <c r="D18" s="39">
        <v>40.0</v>
      </c>
      <c r="E18" s="57"/>
      <c r="F18" s="58"/>
      <c r="G18" s="58"/>
      <c r="H18" s="58"/>
      <c r="I18" s="58"/>
      <c r="J18" s="57"/>
      <c r="K18" s="58"/>
      <c r="L18" s="60"/>
      <c r="M18" s="57"/>
      <c r="N18" s="58"/>
      <c r="O18" s="60"/>
      <c r="P18" s="57"/>
      <c r="Q18" s="58"/>
      <c r="R18" s="60"/>
      <c r="S18" s="57"/>
      <c r="T18" s="58"/>
      <c r="U18" s="60"/>
      <c r="V18" s="57"/>
      <c r="W18" s="58"/>
      <c r="X18" s="89"/>
      <c r="Y18" s="58"/>
      <c r="Z18" s="58"/>
      <c r="AA18" s="60"/>
      <c r="AB18" s="57"/>
      <c r="AC18" s="58"/>
      <c r="AD18" s="60"/>
      <c r="AE18" s="58"/>
      <c r="AF18" s="58"/>
      <c r="AG18" s="60"/>
      <c r="AH18" s="57"/>
      <c r="AI18" s="58"/>
      <c r="AJ18" s="89"/>
      <c r="AK18" s="57"/>
      <c r="AL18" s="58"/>
      <c r="AM18" s="60"/>
      <c r="AN18" s="57"/>
      <c r="AO18" s="58"/>
      <c r="AP18" s="60"/>
      <c r="AQ18" s="58"/>
      <c r="AR18" s="58"/>
      <c r="AS18" s="60"/>
      <c r="AT18" s="57"/>
      <c r="AU18" s="58"/>
      <c r="AV18" s="89"/>
      <c r="AW18" s="57"/>
      <c r="AX18" s="58"/>
      <c r="AY18" s="60"/>
      <c r="AZ18" s="57"/>
      <c r="BA18" s="58"/>
      <c r="BB18" s="60"/>
      <c r="BC18" s="57"/>
      <c r="BD18" s="58"/>
      <c r="BE18" s="60"/>
    </row>
    <row r="19" ht="76.5" customHeight="1">
      <c r="A19" s="91" t="s">
        <v>87</v>
      </c>
      <c r="B19" s="91" t="s">
        <v>89</v>
      </c>
      <c r="C19" s="91" t="s">
        <v>90</v>
      </c>
      <c r="D19" s="91" t="s">
        <v>91</v>
      </c>
      <c r="E19" s="91" t="s">
        <v>92</v>
      </c>
      <c r="F19" s="91" t="s">
        <v>93</v>
      </c>
      <c r="G19" s="91" t="s">
        <v>94</v>
      </c>
      <c r="H19" s="91" t="s">
        <v>95</v>
      </c>
      <c r="I19" s="91" t="s">
        <v>96</v>
      </c>
      <c r="J19" s="91" t="s">
        <v>97</v>
      </c>
      <c r="K19" s="91" t="s">
        <v>99</v>
      </c>
      <c r="L19" s="91" t="s">
        <v>100</v>
      </c>
      <c r="M19" s="91" t="s">
        <v>97</v>
      </c>
      <c r="N19" s="91" t="s">
        <v>99</v>
      </c>
      <c r="O19" s="91" t="s">
        <v>100</v>
      </c>
      <c r="P19" s="91" t="s">
        <v>97</v>
      </c>
      <c r="Q19" s="91" t="s">
        <v>99</v>
      </c>
      <c r="R19" s="91" t="s">
        <v>100</v>
      </c>
      <c r="S19" s="91" t="s">
        <v>97</v>
      </c>
      <c r="T19" s="91" t="s">
        <v>99</v>
      </c>
      <c r="U19" s="91" t="s">
        <v>100</v>
      </c>
      <c r="V19" s="91" t="s">
        <v>97</v>
      </c>
      <c r="W19" s="91" t="s">
        <v>99</v>
      </c>
      <c r="X19" s="92" t="s">
        <v>100</v>
      </c>
      <c r="Y19" s="94" t="s">
        <v>97</v>
      </c>
      <c r="Z19" s="91" t="s">
        <v>99</v>
      </c>
      <c r="AA19" s="91" t="s">
        <v>100</v>
      </c>
      <c r="AB19" s="91" t="s">
        <v>97</v>
      </c>
      <c r="AC19" s="91" t="s">
        <v>99</v>
      </c>
      <c r="AD19" s="91" t="s">
        <v>100</v>
      </c>
      <c r="AE19" s="94" t="s">
        <v>97</v>
      </c>
      <c r="AF19" s="91" t="s">
        <v>99</v>
      </c>
      <c r="AG19" s="91" t="s">
        <v>100</v>
      </c>
      <c r="AH19" s="91" t="s">
        <v>97</v>
      </c>
      <c r="AI19" s="91" t="s">
        <v>99</v>
      </c>
      <c r="AJ19" s="92" t="s">
        <v>100</v>
      </c>
      <c r="AK19" s="91" t="s">
        <v>97</v>
      </c>
      <c r="AL19" s="91" t="s">
        <v>99</v>
      </c>
      <c r="AM19" s="91" t="s">
        <v>100</v>
      </c>
      <c r="AN19" s="91" t="s">
        <v>97</v>
      </c>
      <c r="AO19" s="91" t="s">
        <v>99</v>
      </c>
      <c r="AP19" s="91" t="s">
        <v>100</v>
      </c>
      <c r="AQ19" s="94" t="s">
        <v>97</v>
      </c>
      <c r="AR19" s="91" t="s">
        <v>99</v>
      </c>
      <c r="AS19" s="91" t="s">
        <v>100</v>
      </c>
      <c r="AT19" s="91" t="s">
        <v>97</v>
      </c>
      <c r="AU19" s="91" t="s">
        <v>99</v>
      </c>
      <c r="AV19" s="92" t="s">
        <v>100</v>
      </c>
      <c r="AW19" s="91" t="s">
        <v>97</v>
      </c>
      <c r="AX19" s="91" t="s">
        <v>99</v>
      </c>
      <c r="AY19" s="91" t="s">
        <v>100</v>
      </c>
      <c r="AZ19" s="91" t="s">
        <v>97</v>
      </c>
      <c r="BA19" s="91" t="s">
        <v>99</v>
      </c>
      <c r="BB19" s="91" t="s">
        <v>100</v>
      </c>
      <c r="BC19" s="91" t="s">
        <v>97</v>
      </c>
      <c r="BD19" s="91" t="s">
        <v>99</v>
      </c>
      <c r="BE19" s="91" t="s">
        <v>100</v>
      </c>
    </row>
    <row r="20" ht="15.0" customHeight="1">
      <c r="A20" s="96">
        <f>+D14*12</f>
        <v>48</v>
      </c>
      <c r="B20" s="96"/>
      <c r="C20" s="96"/>
      <c r="D20" s="96">
        <f>+D15</f>
        <v>120</v>
      </c>
      <c r="E20" s="96">
        <f>+D16</f>
        <v>60</v>
      </c>
      <c r="F20" s="97"/>
      <c r="G20" s="97"/>
      <c r="H20" s="97"/>
      <c r="I20" s="97"/>
      <c r="J20" s="97"/>
      <c r="K20" s="97"/>
      <c r="L20" s="97"/>
      <c r="M20" s="97"/>
      <c r="N20" s="97"/>
      <c r="O20" s="97"/>
      <c r="P20" s="97"/>
      <c r="Q20" s="97"/>
      <c r="R20" s="97"/>
      <c r="S20" s="97"/>
      <c r="T20" s="97"/>
      <c r="U20" s="97"/>
      <c r="V20" s="97"/>
      <c r="W20" s="97"/>
      <c r="X20" s="98"/>
      <c r="Y20" s="99"/>
      <c r="Z20" s="97"/>
      <c r="AA20" s="97"/>
      <c r="AB20" s="97"/>
      <c r="AC20" s="97"/>
      <c r="AD20" s="97"/>
      <c r="AE20" s="99"/>
      <c r="AF20" s="97"/>
      <c r="AG20" s="97"/>
      <c r="AH20" s="97"/>
      <c r="AI20" s="97"/>
      <c r="AJ20" s="98"/>
      <c r="AK20" s="97"/>
      <c r="AL20" s="97"/>
      <c r="AM20" s="97"/>
      <c r="AN20" s="97"/>
      <c r="AO20" s="97"/>
      <c r="AP20" s="97"/>
      <c r="AQ20" s="99"/>
      <c r="AR20" s="97"/>
      <c r="AS20" s="97"/>
      <c r="AT20" s="97"/>
      <c r="AU20" s="97"/>
      <c r="AV20" s="98"/>
      <c r="AW20" s="97"/>
      <c r="AX20" s="97"/>
      <c r="AY20" s="97"/>
      <c r="AZ20" s="97"/>
      <c r="BA20" s="97"/>
      <c r="BB20" s="97"/>
      <c r="BC20" s="97"/>
      <c r="BD20" s="97"/>
      <c r="BE20" s="97"/>
    </row>
    <row r="21" ht="15.0" customHeight="1">
      <c r="A21" s="96">
        <f t="shared" ref="A21:A40" si="2">+IF(A20-C21&gt;0,A20-C21,0)</f>
        <v>45.6</v>
      </c>
      <c r="B21" s="96">
        <f t="shared" ref="B21:B40" si="3">+(A20+A21)/2</f>
        <v>46.8</v>
      </c>
      <c r="C21" s="96">
        <f t="shared" ref="C21:C40" si="4">+IF(A20&gt;0,$I$16,0)</f>
        <v>2.4</v>
      </c>
      <c r="D21" s="97">
        <f t="shared" ref="D21:D40" si="5">+D20-(2*(($D$15-$D$17)/(2*$D$14))*(C21/12))</f>
        <v>118.75</v>
      </c>
      <c r="E21" s="97">
        <f t="shared" ref="E21:E40" si="6">+E20-(2*(($D$16-$D$18)/(2*$D$14))*(C21/12))</f>
        <v>59</v>
      </c>
      <c r="F21" s="101">
        <f t="shared" ref="F21:F40" si="7">+IF(B21&gt;0,+(((D20*E20)+4*(((D20+D21)/2)*((E20+E21)/2))+(D21*E21))/6)*(C21/12),0)</f>
        <v>1420.583333</v>
      </c>
      <c r="G21" s="101">
        <f t="shared" ref="G21:G40" si="8">+G20+F21</f>
        <v>1420.583333</v>
      </c>
      <c r="H21" s="101">
        <f t="shared" ref="H21:H40" si="9">+G21*7.48</f>
        <v>10625.96333</v>
      </c>
      <c r="I21" s="102">
        <f t="shared" ref="I21:I40" si="10">+($I$14-($I$14-H21))/$I$14</f>
        <v>0.06556538462</v>
      </c>
      <c r="J21" s="97">
        <f t="shared" ref="J21:J40" si="11">+(1.6425*POWER(B21/12,0.0636))</f>
        <v>1.791006192</v>
      </c>
      <c r="K21" s="103">
        <f t="shared" ref="K21:K40" si="12">+J21*0.1337/60</f>
        <v>0.003990958797</v>
      </c>
      <c r="L21" s="101">
        <f>+H21/(1.6425*POWER(B21/12,0.0636))/60</f>
        <v>98.88262236</v>
      </c>
      <c r="M21" s="97">
        <f t="shared" ref="M21:M40" si="13">+(6.4078*POWER(B21/12,0.0312))</f>
        <v>6.685750475</v>
      </c>
      <c r="N21" s="103">
        <f t="shared" ref="N21:N40" si="14">+M21*0.1337/60</f>
        <v>0.01489808064</v>
      </c>
      <c r="O21" s="97">
        <f>+H21/(6.4078*POWER(B21/12,0.0312))/60</f>
        <v>26.48908145</v>
      </c>
      <c r="P21" s="97">
        <f t="shared" ref="P21:P40" si="15">+(7.5459*POWER(B21/12,0.0748))</f>
        <v>8.354542606</v>
      </c>
      <c r="Q21" s="103">
        <f t="shared" ref="Q21:Q40" si="16">+P21*0.1337/60</f>
        <v>0.01861670577</v>
      </c>
      <c r="R21" s="97">
        <f>+H21/(7.5459*POWER(B21/12,0.0748))/60</f>
        <v>21.19797543</v>
      </c>
      <c r="S21" s="97">
        <f t="shared" ref="S21:S40" si="17">+(14.221*POWER(B21/12,0.0401))</f>
        <v>15.01868219</v>
      </c>
      <c r="T21" s="103">
        <f t="shared" ref="T21:T40" si="18">+S21*0.1337/60</f>
        <v>0.03346663014</v>
      </c>
      <c r="U21" s="97">
        <f>+H21/(14.221*POWER(B21/12,0.0401))/60</f>
        <v>11.79193931</v>
      </c>
      <c r="V21" s="97">
        <f t="shared" ref="V21:V40" si="19">+(22.133*POWER(B21/12,0.1378))</f>
        <v>26.69863062</v>
      </c>
      <c r="W21" s="103">
        <f t="shared" ref="W21:W40" si="20">+V21*0.1337/60</f>
        <v>0.05949344857</v>
      </c>
      <c r="X21" s="98">
        <f>+H21/(22.133*POWER(B21/12,0.1378))/60</f>
        <v>6.633276118</v>
      </c>
      <c r="Y21" s="99">
        <f t="shared" ref="Y21:Y40" si="21">+(16.127*POWER(B21/12,0.0897))</f>
        <v>18.22099467</v>
      </c>
      <c r="Z21" s="103">
        <f t="shared" ref="Z21:Z40" si="22">+Y21*0.1337/60</f>
        <v>0.0406024498</v>
      </c>
      <c r="AA21" s="97">
        <f>+H21/(16.127*POWER(B21/12,0.0897))/60</f>
        <v>9.719523662</v>
      </c>
      <c r="AB21" s="97">
        <f t="shared" ref="AB21:AB40" si="23">+(29.588*POWER(B21/12,0.0625))</f>
        <v>32.21492673</v>
      </c>
      <c r="AC21" s="103">
        <f t="shared" ref="AC21:AC40" si="24">+AB21*0.1337/60</f>
        <v>0.07178559507</v>
      </c>
      <c r="AD21" s="97">
        <f>+H21/(29.588*POWER(B21/12,0.0625))/60</f>
        <v>5.497432614</v>
      </c>
      <c r="AE21" s="99">
        <f t="shared" ref="AE21:AE40" si="25">+(32.06*POWER(B21/12,0.1537))</f>
        <v>39.51938233</v>
      </c>
      <c r="AF21" s="103">
        <f t="shared" ref="AF21:AF40" si="26">+AE21*0.1337/60</f>
        <v>0.08806235695</v>
      </c>
      <c r="AG21" s="97">
        <f>+H21/(32.06*POWER(B21/12,0.1537))/60</f>
        <v>4.481329881</v>
      </c>
      <c r="AH21" s="97">
        <f t="shared" ref="AH21:AH40" si="27">+(60.386*POWER(B21/12,0.12))</f>
        <v>71.09908563</v>
      </c>
      <c r="AI21" s="103">
        <f t="shared" ref="AI21:AI40" si="28">+AH21*0.1337/60</f>
        <v>0.1584324625</v>
      </c>
      <c r="AJ21" s="98">
        <f>+H21/(60.386*POWER(B21/12,0.12))/60</f>
        <v>2.490881385</v>
      </c>
      <c r="AK21" s="97">
        <f t="shared" ref="AK21:AK40" si="29">+(32.786*POWER(B21/12,0.0463))</f>
        <v>34.91843137</v>
      </c>
      <c r="AL21" s="103">
        <f t="shared" ref="AL21:AL40" si="30">+AK21*0.1337/60</f>
        <v>0.07780990458</v>
      </c>
      <c r="AM21" s="97">
        <f>+H21/(32.06*POWER(B21/12,0.0783))/60</f>
        <v>4.965616618</v>
      </c>
      <c r="AN21" s="97">
        <f t="shared" ref="AN21:AN40" si="31">+(48.885*POWER(B21/12,0.0519))</f>
        <v>52.46284916</v>
      </c>
      <c r="AO21" s="103">
        <f t="shared" ref="AO21:AO40" si="32">+AN21*0.1337/60</f>
        <v>0.1169047155</v>
      </c>
      <c r="AP21" s="97">
        <f>+H21/(51.448*POWER(B21/12,0.0893))/60</f>
        <v>3.048361701</v>
      </c>
      <c r="AQ21" s="99">
        <f t="shared" ref="AQ21:AQ40" si="33">+(72.011*POWER(B21/12,0.0744))</f>
        <v>79.6845361</v>
      </c>
      <c r="AR21" s="103">
        <f t="shared" ref="AR21:AR40" si="34">+AQ21*0.1337/60</f>
        <v>0.177563708</v>
      </c>
      <c r="AS21" s="97">
        <f>+H21/(75.674*POWER(B21/12,0.0519))/60</f>
        <v>2.180690938</v>
      </c>
      <c r="AT21" s="97">
        <f t="shared" ref="AT21:AT40" si="35">+(141.13*POWER(B21/12,0.1432))</f>
        <v>171.4982897</v>
      </c>
      <c r="AU21" s="103">
        <f t="shared" ref="AU21:AU40" si="36">+AT21*0.1337/60</f>
        <v>0.3821553555</v>
      </c>
      <c r="AV21" s="98">
        <f>+H21/(88.983*POWER(B21/12,0.1573))/60</f>
        <v>1.606702821</v>
      </c>
      <c r="AW21" s="97">
        <f t="shared" ref="AW21:AW40" si="37">+(186.48*POWER(B21/12,0.4401))</f>
        <v>339.4374796</v>
      </c>
      <c r="AX21" s="103">
        <f t="shared" ref="AX21:AX40" si="38">+AW21*0.1337/60</f>
        <v>0.7563798504</v>
      </c>
      <c r="AY21" s="97">
        <f>+H21/(186.48*POWER(B21/12,0.4401))/60</f>
        <v>0.5217437658</v>
      </c>
      <c r="AZ21" s="97">
        <f t="shared" ref="AZ21:AZ40" si="39">+(248.96*POWER(B21/12,0.2857))</f>
        <v>367.2795381</v>
      </c>
      <c r="BA21" s="103">
        <f t="shared" ref="BA21:BA40" si="40">+AZ21*0.1337/60</f>
        <v>0.8184212373</v>
      </c>
      <c r="BB21" s="97">
        <f>+B21/(248.96*POWER(B21/12,0.2857))/60</f>
        <v>0.002123722993</v>
      </c>
      <c r="BC21" s="97">
        <f t="shared" ref="BC21:BC40" si="41">+(289.04*POWER(B21/12,0.2282))</f>
        <v>394.3109993</v>
      </c>
      <c r="BD21" s="103">
        <f t="shared" ref="BD21:BD40" si="42">+BC21*0.1337/60</f>
        <v>0.8786563434</v>
      </c>
      <c r="BE21" s="97">
        <f>+H21/(289.04*POWER(B21/12,0.2282))/60</f>
        <v>0.4491363142</v>
      </c>
    </row>
    <row r="22" ht="15.0" customHeight="1">
      <c r="A22" s="96">
        <f t="shared" si="2"/>
        <v>43.2</v>
      </c>
      <c r="B22" s="96">
        <f t="shared" si="3"/>
        <v>44.4</v>
      </c>
      <c r="C22" s="96">
        <f t="shared" si="4"/>
        <v>2.4</v>
      </c>
      <c r="D22" s="97">
        <f t="shared" si="5"/>
        <v>117.5</v>
      </c>
      <c r="E22" s="97">
        <f t="shared" si="6"/>
        <v>58</v>
      </c>
      <c r="F22" s="101">
        <f t="shared" si="7"/>
        <v>1382.083333</v>
      </c>
      <c r="G22" s="101">
        <f t="shared" si="8"/>
        <v>2802.666667</v>
      </c>
      <c r="H22" s="101">
        <f t="shared" si="9"/>
        <v>20963.94667</v>
      </c>
      <c r="I22" s="102">
        <f t="shared" si="10"/>
        <v>0.1293538462</v>
      </c>
      <c r="J22" s="97">
        <f t="shared" si="11"/>
        <v>1.785019677</v>
      </c>
      <c r="K22" s="103">
        <f t="shared" si="12"/>
        <v>0.003977618847</v>
      </c>
      <c r="L22" s="101">
        <f t="shared" ref="L22:L40" si="43">+(H22-H21)/(1.6425*POWER(B22/12,0.0636))/60+L21</f>
        <v>195.4080133</v>
      </c>
      <c r="M22" s="97">
        <f t="shared" si="13"/>
        <v>6.674778247</v>
      </c>
      <c r="N22" s="103">
        <f t="shared" si="14"/>
        <v>0.01487363086</v>
      </c>
      <c r="O22" s="97">
        <f t="shared" ref="O22:O40" si="44">+(H22-H21)/(6.4078*POWER(B22/12,0.0312))/60+O21</f>
        <v>52.30263148</v>
      </c>
      <c r="P22" s="97">
        <f t="shared" si="15"/>
        <v>8.321709182</v>
      </c>
      <c r="Q22" s="103">
        <f t="shared" si="16"/>
        <v>0.01854354196</v>
      </c>
      <c r="R22" s="97">
        <f t="shared" ref="R22:R40" si="45">+(H22-H21)/(7.5459*POWER(B22/12,0.0748))/60+R21</f>
        <v>41.90282325</v>
      </c>
      <c r="S22" s="97">
        <f t="shared" si="17"/>
        <v>14.98701098</v>
      </c>
      <c r="T22" s="103">
        <f t="shared" si="18"/>
        <v>0.03339605614</v>
      </c>
      <c r="U22" s="97">
        <f t="shared" ref="U22:U40" si="46">+(H22-H21)/(14.221*POWER(B22/12,0.0401))/60+U21</f>
        <v>23.28854277</v>
      </c>
      <c r="V22" s="97">
        <f t="shared" si="19"/>
        <v>26.50565138</v>
      </c>
      <c r="W22" s="103">
        <f t="shared" si="20"/>
        <v>0.0590634265</v>
      </c>
      <c r="X22" s="98">
        <f t="shared" ref="X22:X40" si="47">+(H22-H21)/(22.133*POWER(B22/12,0.1378))/60+X21</f>
        <v>13.13376614</v>
      </c>
      <c r="Y22" s="99">
        <f t="shared" si="21"/>
        <v>18.13515537</v>
      </c>
      <c r="Z22" s="103">
        <f t="shared" si="22"/>
        <v>0.04041117121</v>
      </c>
      <c r="AA22" s="97">
        <f t="shared" ref="AA22:AA40" si="48">+(H22-H21)/(16.127*POWER(B22/12,0.0897))/60+AA21</f>
        <v>19.22039193</v>
      </c>
      <c r="AB22" s="97">
        <f t="shared" si="23"/>
        <v>32.10910629</v>
      </c>
      <c r="AC22" s="103">
        <f t="shared" si="24"/>
        <v>0.07154979185</v>
      </c>
      <c r="AD22" s="97">
        <f t="shared" ref="AD22:AD40" si="49">+(H22-H21)/(29.588*POWER(B22/12,0.0625))/60+AD21</f>
        <v>10.86350293</v>
      </c>
      <c r="AE22" s="99">
        <f t="shared" si="25"/>
        <v>39.20090768</v>
      </c>
      <c r="AF22" s="103">
        <f t="shared" si="26"/>
        <v>0.08735268927</v>
      </c>
      <c r="AG22" s="97">
        <f t="shared" ref="AG22:AG40" si="50">+(H22-H21)/(32.06*POWER(B22/12,0.1537))/60+AG21</f>
        <v>8.876629184</v>
      </c>
      <c r="AH22" s="97">
        <f t="shared" si="27"/>
        <v>70.65135079</v>
      </c>
      <c r="AI22" s="103">
        <f t="shared" si="28"/>
        <v>0.15743476</v>
      </c>
      <c r="AJ22" s="98">
        <f t="shared" ref="AJ22:AJ40" si="51">+(H22-H21)/(60.386*POWER(B22/12,0.12))/60+AJ21</f>
        <v>4.929613558</v>
      </c>
      <c r="AK22" s="97">
        <f t="shared" si="29"/>
        <v>34.83342466</v>
      </c>
      <c r="AL22" s="103">
        <f t="shared" si="30"/>
        <v>0.07762048128</v>
      </c>
      <c r="AM22" s="97">
        <f t="shared" ref="AM22:AM40" si="52">+(H22-H21)/(32.06*POWER(B22/12,0.0783))/60+AM21</f>
        <v>9.816612035</v>
      </c>
      <c r="AN22" s="97">
        <f t="shared" si="31"/>
        <v>52.31970529</v>
      </c>
      <c r="AO22" s="103">
        <f t="shared" si="32"/>
        <v>0.1165857433</v>
      </c>
      <c r="AP22" s="97">
        <f t="shared" ref="AP22:AP40" si="53">+(H22-H21)/(51.448*POWER(B22/12,0.0893))/60+AP21</f>
        <v>6.028083147</v>
      </c>
      <c r="AQ22" s="99">
        <f t="shared" si="33"/>
        <v>79.37304658</v>
      </c>
      <c r="AR22" s="103">
        <f t="shared" si="34"/>
        <v>0.1768696055</v>
      </c>
      <c r="AS22" s="97">
        <f t="shared" ref="AS22:AS40" si="54">+(H22-H21)/(75.674*POWER(B22/12,0.0519))/60+AS21</f>
        <v>4.308086344</v>
      </c>
      <c r="AT22" s="97">
        <f t="shared" si="35"/>
        <v>170.2102966</v>
      </c>
      <c r="AU22" s="103">
        <f t="shared" si="36"/>
        <v>0.3792852775</v>
      </c>
      <c r="AV22" s="98">
        <f t="shared" ref="AV22:AV40" si="55">+(H22-H21)/(88.983*POWER(B22/12,0.1573))/60+AV21</f>
        <v>3.182859558</v>
      </c>
      <c r="AW22" s="97">
        <f t="shared" si="37"/>
        <v>331.663622</v>
      </c>
      <c r="AX22" s="103">
        <f t="shared" si="38"/>
        <v>0.7390571044</v>
      </c>
      <c r="AY22" s="97">
        <f t="shared" ref="AY22:AY40" si="56">+(H22-H21)/(186.48*POWER(B22/12,0.4401))/60+AY21</f>
        <v>1.041245185</v>
      </c>
      <c r="AZ22" s="97">
        <f t="shared" si="39"/>
        <v>361.7968721</v>
      </c>
      <c r="BA22" s="103">
        <f t="shared" si="40"/>
        <v>0.80620403</v>
      </c>
      <c r="BB22" s="97">
        <f t="shared" ref="BB22:BB40" si="57">+(H22-H21)/(248.96*POWER(B22/12,0.2857))/60+BB21</f>
        <v>0.4783570337</v>
      </c>
      <c r="BC22" s="97">
        <f t="shared" si="41"/>
        <v>389.6023627</v>
      </c>
      <c r="BD22" s="103">
        <f t="shared" si="42"/>
        <v>0.8681639316</v>
      </c>
      <c r="BE22" s="97">
        <f t="shared" ref="BE22:BE40" si="58">+(H22-H21)/(289.04*POWER(B22/12,0.2282))/60+BE21</f>
        <v>0.8913813792</v>
      </c>
    </row>
    <row r="23" ht="15.0" customHeight="1">
      <c r="A23" s="96">
        <f t="shared" si="2"/>
        <v>40.8</v>
      </c>
      <c r="B23" s="96">
        <f t="shared" si="3"/>
        <v>42</v>
      </c>
      <c r="C23" s="96">
        <f t="shared" si="4"/>
        <v>2.4</v>
      </c>
      <c r="D23" s="97">
        <f t="shared" si="5"/>
        <v>116.25</v>
      </c>
      <c r="E23" s="97">
        <f t="shared" si="6"/>
        <v>57</v>
      </c>
      <c r="F23" s="101">
        <f t="shared" si="7"/>
        <v>1344.083333</v>
      </c>
      <c r="G23" s="101">
        <f t="shared" si="8"/>
        <v>4146.75</v>
      </c>
      <c r="H23" s="101">
        <f t="shared" si="9"/>
        <v>31017.69</v>
      </c>
      <c r="I23" s="102">
        <f t="shared" si="10"/>
        <v>0.1913884615</v>
      </c>
      <c r="J23" s="97">
        <f t="shared" si="11"/>
        <v>1.77872212</v>
      </c>
      <c r="K23" s="103">
        <f t="shared" si="12"/>
        <v>0.00396358579</v>
      </c>
      <c r="L23" s="101">
        <f t="shared" si="43"/>
        <v>289.6118167</v>
      </c>
      <c r="M23" s="97">
        <f t="shared" si="13"/>
        <v>6.66321568</v>
      </c>
      <c r="N23" s="103">
        <f t="shared" si="14"/>
        <v>0.01484786561</v>
      </c>
      <c r="O23" s="97">
        <f t="shared" si="44"/>
        <v>77.4500073</v>
      </c>
      <c r="P23" s="97">
        <f t="shared" si="15"/>
        <v>8.287190749</v>
      </c>
      <c r="Q23" s="103">
        <f t="shared" si="16"/>
        <v>0.01846662339</v>
      </c>
      <c r="R23" s="97">
        <f t="shared" si="45"/>
        <v>62.12226721</v>
      </c>
      <c r="S23" s="97">
        <f t="shared" si="17"/>
        <v>14.95365184</v>
      </c>
      <c r="T23" s="103">
        <f t="shared" si="18"/>
        <v>0.03332172086</v>
      </c>
      <c r="U23" s="97">
        <f t="shared" si="46"/>
        <v>34.49399215</v>
      </c>
      <c r="V23" s="97">
        <f t="shared" si="19"/>
        <v>26.30345882</v>
      </c>
      <c r="W23" s="103">
        <f t="shared" si="20"/>
        <v>0.05861287407</v>
      </c>
      <c r="X23" s="98">
        <f t="shared" si="47"/>
        <v>19.50412184</v>
      </c>
      <c r="Y23" s="99">
        <f t="shared" si="21"/>
        <v>18.04498351</v>
      </c>
      <c r="Z23" s="103">
        <f t="shared" si="22"/>
        <v>0.04021023825</v>
      </c>
      <c r="AA23" s="97">
        <f t="shared" si="48"/>
        <v>28.50620751</v>
      </c>
      <c r="AB23" s="97">
        <f t="shared" si="23"/>
        <v>31.99778108</v>
      </c>
      <c r="AC23" s="103">
        <f t="shared" si="24"/>
        <v>0.07130172218</v>
      </c>
      <c r="AD23" s="97">
        <f t="shared" si="49"/>
        <v>16.1001907</v>
      </c>
      <c r="AE23" s="99">
        <f t="shared" si="25"/>
        <v>38.86751514</v>
      </c>
      <c r="AF23" s="103">
        <f t="shared" si="26"/>
        <v>0.08660977958</v>
      </c>
      <c r="AG23" s="97">
        <f t="shared" si="50"/>
        <v>13.18774576</v>
      </c>
      <c r="AH23" s="97">
        <f t="shared" si="27"/>
        <v>70.18178793</v>
      </c>
      <c r="AI23" s="103">
        <f t="shared" si="28"/>
        <v>0.1563884174</v>
      </c>
      <c r="AJ23" s="98">
        <f t="shared" si="51"/>
        <v>7.317161579</v>
      </c>
      <c r="AK23" s="97">
        <f t="shared" si="29"/>
        <v>34.74391749</v>
      </c>
      <c r="AL23" s="103">
        <f t="shared" si="30"/>
        <v>0.07742102947</v>
      </c>
      <c r="AM23" s="97">
        <f t="shared" si="52"/>
        <v>14.55480231</v>
      </c>
      <c r="AN23" s="97">
        <f t="shared" si="31"/>
        <v>52.16902871</v>
      </c>
      <c r="AO23" s="103">
        <f t="shared" si="32"/>
        <v>0.1162499856</v>
      </c>
      <c r="AP23" s="97">
        <f t="shared" si="53"/>
        <v>8.940293694</v>
      </c>
      <c r="AQ23" s="99">
        <f t="shared" si="33"/>
        <v>79.04556434</v>
      </c>
      <c r="AR23" s="103">
        <f t="shared" si="34"/>
        <v>0.1761398659</v>
      </c>
      <c r="AS23" s="97">
        <f t="shared" si="54"/>
        <v>6.382965086</v>
      </c>
      <c r="AT23" s="97">
        <f t="shared" si="35"/>
        <v>168.8612055</v>
      </c>
      <c r="AU23" s="103">
        <f t="shared" si="36"/>
        <v>0.376279053</v>
      </c>
      <c r="AV23" s="98">
        <f t="shared" si="55"/>
        <v>4.729137627</v>
      </c>
      <c r="AW23" s="97">
        <f t="shared" si="37"/>
        <v>323.6507419</v>
      </c>
      <c r="AX23" s="103">
        <f t="shared" si="38"/>
        <v>0.7212017364</v>
      </c>
      <c r="AY23" s="97">
        <f t="shared" si="56"/>
        <v>1.558971138</v>
      </c>
      <c r="AZ23" s="97">
        <f t="shared" si="39"/>
        <v>356.0982305</v>
      </c>
      <c r="BA23" s="103">
        <f t="shared" si="40"/>
        <v>0.7935055569</v>
      </c>
      <c r="BB23" s="97">
        <f t="shared" si="57"/>
        <v>0.9489080631</v>
      </c>
      <c r="BC23" s="97">
        <f t="shared" si="41"/>
        <v>384.6929933</v>
      </c>
      <c r="BD23" s="103">
        <f t="shared" si="42"/>
        <v>0.8572242201</v>
      </c>
      <c r="BE23" s="97">
        <f t="shared" si="58"/>
        <v>1.326955699</v>
      </c>
    </row>
    <row r="24" ht="15.0" customHeight="1">
      <c r="A24" s="96">
        <f t="shared" si="2"/>
        <v>38.4</v>
      </c>
      <c r="B24" s="96">
        <f t="shared" si="3"/>
        <v>39.6</v>
      </c>
      <c r="C24" s="96">
        <f t="shared" si="4"/>
        <v>2.4</v>
      </c>
      <c r="D24" s="97">
        <f t="shared" si="5"/>
        <v>115</v>
      </c>
      <c r="E24" s="97">
        <f t="shared" si="6"/>
        <v>56</v>
      </c>
      <c r="F24" s="101">
        <f t="shared" si="7"/>
        <v>1306.583333</v>
      </c>
      <c r="G24" s="101">
        <f t="shared" si="8"/>
        <v>5453.333333</v>
      </c>
      <c r="H24" s="101">
        <f t="shared" si="9"/>
        <v>40790.93333</v>
      </c>
      <c r="I24" s="102">
        <f t="shared" si="10"/>
        <v>0.2516923077</v>
      </c>
      <c r="J24" s="97">
        <f t="shared" si="11"/>
        <v>1.772078126</v>
      </c>
      <c r="K24" s="103">
        <f t="shared" si="12"/>
        <v>0.003948780757</v>
      </c>
      <c r="L24" s="101">
        <f t="shared" si="43"/>
        <v>381.5306698</v>
      </c>
      <c r="M24" s="97">
        <f t="shared" si="13"/>
        <v>6.650994413</v>
      </c>
      <c r="N24" s="103">
        <f t="shared" si="14"/>
        <v>0.01482063255</v>
      </c>
      <c r="O24" s="97">
        <f t="shared" si="44"/>
        <v>101.9406893</v>
      </c>
      <c r="P24" s="97">
        <f t="shared" si="15"/>
        <v>8.250796738</v>
      </c>
      <c r="Q24" s="103">
        <f t="shared" si="16"/>
        <v>0.0183855254</v>
      </c>
      <c r="R24" s="97">
        <f t="shared" si="45"/>
        <v>81.86428656</v>
      </c>
      <c r="S24" s="97">
        <f t="shared" si="17"/>
        <v>14.91841023</v>
      </c>
      <c r="T24" s="103">
        <f t="shared" si="18"/>
        <v>0.0332431908</v>
      </c>
      <c r="U24" s="97">
        <f t="shared" si="46"/>
        <v>45.41254087</v>
      </c>
      <c r="V24" s="97">
        <f t="shared" si="19"/>
        <v>26.09104687</v>
      </c>
      <c r="W24" s="103">
        <f t="shared" si="20"/>
        <v>0.05813954944</v>
      </c>
      <c r="X24" s="98">
        <f t="shared" si="47"/>
        <v>25.74715953</v>
      </c>
      <c r="Y24" s="99">
        <f t="shared" si="21"/>
        <v>17.94999312</v>
      </c>
      <c r="Z24" s="103">
        <f t="shared" si="22"/>
        <v>0.03999856799</v>
      </c>
      <c r="AA24" s="97">
        <f t="shared" si="48"/>
        <v>37.58071733</v>
      </c>
      <c r="AB24" s="97">
        <f t="shared" si="23"/>
        <v>31.88032435</v>
      </c>
      <c r="AC24" s="103">
        <f t="shared" si="24"/>
        <v>0.07103998943</v>
      </c>
      <c r="AD24" s="97">
        <f t="shared" si="49"/>
        <v>21.20952984</v>
      </c>
      <c r="AE24" s="99">
        <f t="shared" si="25"/>
        <v>38.5175904</v>
      </c>
      <c r="AF24" s="103">
        <f t="shared" si="26"/>
        <v>0.08583003062</v>
      </c>
      <c r="AG24" s="97">
        <f t="shared" si="50"/>
        <v>17.41665487</v>
      </c>
      <c r="AH24" s="97">
        <f t="shared" si="27"/>
        <v>69.68798953</v>
      </c>
      <c r="AI24" s="103">
        <f t="shared" si="28"/>
        <v>0.15528807</v>
      </c>
      <c r="AJ24" s="98">
        <f t="shared" si="51"/>
        <v>9.654542669</v>
      </c>
      <c r="AK24" s="97">
        <f t="shared" si="29"/>
        <v>34.64939293</v>
      </c>
      <c r="AL24" s="103">
        <f t="shared" si="30"/>
        <v>0.07721039724</v>
      </c>
      <c r="AM24" s="97">
        <f t="shared" si="52"/>
        <v>19.18206657</v>
      </c>
      <c r="AN24" s="97">
        <f t="shared" si="31"/>
        <v>52.00995679</v>
      </c>
      <c r="AO24" s="103">
        <f t="shared" si="32"/>
        <v>0.1158955204</v>
      </c>
      <c r="AP24" s="97">
        <f t="shared" si="53"/>
        <v>11.78616771</v>
      </c>
      <c r="AQ24" s="99">
        <f t="shared" si="33"/>
        <v>78.70028028</v>
      </c>
      <c r="AR24" s="103">
        <f t="shared" si="34"/>
        <v>0.1753704579</v>
      </c>
      <c r="AS24" s="97">
        <f t="shared" si="54"/>
        <v>8.406123537</v>
      </c>
      <c r="AT24" s="97">
        <f t="shared" si="35"/>
        <v>167.4443653</v>
      </c>
      <c r="AU24" s="103">
        <f t="shared" si="36"/>
        <v>0.3731218608</v>
      </c>
      <c r="AV24" s="98">
        <f t="shared" si="55"/>
        <v>6.246251484</v>
      </c>
      <c r="AW24" s="97">
        <f t="shared" si="37"/>
        <v>315.3771654</v>
      </c>
      <c r="AX24" s="103">
        <f t="shared" si="38"/>
        <v>0.7027654503</v>
      </c>
      <c r="AY24" s="97">
        <f t="shared" si="56"/>
        <v>2.075455547</v>
      </c>
      <c r="AZ24" s="97">
        <f t="shared" si="39"/>
        <v>350.161995</v>
      </c>
      <c r="BA24" s="103">
        <f t="shared" si="40"/>
        <v>0.7802776455</v>
      </c>
      <c r="BB24" s="97">
        <f t="shared" si="57"/>
        <v>1.414085299</v>
      </c>
      <c r="BC24" s="97">
        <f t="shared" si="41"/>
        <v>379.5620903</v>
      </c>
      <c r="BD24" s="103">
        <f t="shared" si="42"/>
        <v>0.8457908578</v>
      </c>
      <c r="BE24" s="97">
        <f t="shared" si="58"/>
        <v>1.756101267</v>
      </c>
    </row>
    <row r="25" ht="15.0" customHeight="1">
      <c r="A25" s="96">
        <f t="shared" si="2"/>
        <v>36</v>
      </c>
      <c r="B25" s="96">
        <f t="shared" si="3"/>
        <v>37.2</v>
      </c>
      <c r="C25" s="96">
        <f t="shared" si="4"/>
        <v>2.4</v>
      </c>
      <c r="D25" s="97">
        <f t="shared" si="5"/>
        <v>113.75</v>
      </c>
      <c r="E25" s="97">
        <f t="shared" si="6"/>
        <v>55</v>
      </c>
      <c r="F25" s="101">
        <f t="shared" si="7"/>
        <v>1269.583333</v>
      </c>
      <c r="G25" s="101">
        <f t="shared" si="8"/>
        <v>6722.916667</v>
      </c>
      <c r="H25" s="101">
        <f t="shared" si="9"/>
        <v>50287.41667</v>
      </c>
      <c r="I25" s="102">
        <f t="shared" si="10"/>
        <v>0.3102884615</v>
      </c>
      <c r="J25" s="97">
        <f t="shared" si="11"/>
        <v>1.765045812</v>
      </c>
      <c r="K25" s="103">
        <f t="shared" si="12"/>
        <v>0.003933110417</v>
      </c>
      <c r="L25" s="101">
        <f t="shared" si="43"/>
        <v>471.2024059</v>
      </c>
      <c r="M25" s="97">
        <f t="shared" si="13"/>
        <v>6.638033395</v>
      </c>
      <c r="N25" s="103">
        <f t="shared" si="14"/>
        <v>0.01479175108</v>
      </c>
      <c r="O25" s="97">
        <f t="shared" si="44"/>
        <v>125.7843057</v>
      </c>
      <c r="P25" s="97">
        <f t="shared" si="15"/>
        <v>8.212301782</v>
      </c>
      <c r="Q25" s="103">
        <f t="shared" si="16"/>
        <v>0.0182997458</v>
      </c>
      <c r="R25" s="97">
        <f t="shared" si="45"/>
        <v>101.1371684</v>
      </c>
      <c r="S25" s="97">
        <f t="shared" si="17"/>
        <v>14.88105563</v>
      </c>
      <c r="T25" s="103">
        <f t="shared" si="18"/>
        <v>0.03315995231</v>
      </c>
      <c r="U25" s="97">
        <f t="shared" si="46"/>
        <v>56.0485284</v>
      </c>
      <c r="V25" s="97">
        <f t="shared" si="19"/>
        <v>25.86723005</v>
      </c>
      <c r="W25" s="103">
        <f t="shared" si="20"/>
        <v>0.05764081095</v>
      </c>
      <c r="X25" s="98">
        <f t="shared" si="47"/>
        <v>31.86589439</v>
      </c>
      <c r="Y25" s="99">
        <f t="shared" si="21"/>
        <v>17.84960993</v>
      </c>
      <c r="Z25" s="103">
        <f t="shared" si="22"/>
        <v>0.0397748808</v>
      </c>
      <c r="AA25" s="97">
        <f t="shared" si="48"/>
        <v>46.44784232</v>
      </c>
      <c r="AB25" s="97">
        <f t="shared" si="23"/>
        <v>31.75599434</v>
      </c>
      <c r="AC25" s="103">
        <f t="shared" si="24"/>
        <v>0.07076294073</v>
      </c>
      <c r="AD25" s="97">
        <f t="shared" si="49"/>
        <v>26.19361947</v>
      </c>
      <c r="AE25" s="99">
        <f t="shared" si="25"/>
        <v>38.14923296</v>
      </c>
      <c r="AF25" s="103">
        <f t="shared" si="26"/>
        <v>0.08500920745</v>
      </c>
      <c r="AG25" s="97">
        <f t="shared" si="50"/>
        <v>21.56548592</v>
      </c>
      <c r="AH25" s="97">
        <f t="shared" si="27"/>
        <v>69.16711572</v>
      </c>
      <c r="AI25" s="103">
        <f t="shared" si="28"/>
        <v>0.1541273895</v>
      </c>
      <c r="AJ25" s="98">
        <f t="shared" si="51"/>
        <v>11.94283705</v>
      </c>
      <c r="AK25" s="97">
        <f t="shared" si="29"/>
        <v>34.54923861</v>
      </c>
      <c r="AL25" s="103">
        <f t="shared" si="30"/>
        <v>0.07698722005</v>
      </c>
      <c r="AM25" s="97">
        <f t="shared" si="52"/>
        <v>23.70035989</v>
      </c>
      <c r="AN25" s="97">
        <f t="shared" si="31"/>
        <v>51.84146805</v>
      </c>
      <c r="AO25" s="103">
        <f t="shared" si="32"/>
        <v>0.1155200713</v>
      </c>
      <c r="AP25" s="97">
        <f t="shared" si="53"/>
        <v>14.56693383</v>
      </c>
      <c r="AQ25" s="99">
        <f t="shared" si="33"/>
        <v>78.33505486</v>
      </c>
      <c r="AR25" s="103">
        <f t="shared" si="34"/>
        <v>0.1745566139</v>
      </c>
      <c r="AS25" s="97">
        <f t="shared" si="54"/>
        <v>10.37837914</v>
      </c>
      <c r="AT25" s="97">
        <f t="shared" si="35"/>
        <v>165.9519409</v>
      </c>
      <c r="AU25" s="103">
        <f t="shared" si="36"/>
        <v>0.3697962416</v>
      </c>
      <c r="AV25" s="98">
        <f t="shared" si="55"/>
        <v>7.73497251</v>
      </c>
      <c r="AW25" s="97">
        <f t="shared" si="37"/>
        <v>306.8177932</v>
      </c>
      <c r="AX25" s="103">
        <f t="shared" si="38"/>
        <v>0.6836923159</v>
      </c>
      <c r="AY25" s="97">
        <f t="shared" si="56"/>
        <v>2.591314554</v>
      </c>
      <c r="AZ25" s="97">
        <f t="shared" si="39"/>
        <v>343.9629074</v>
      </c>
      <c r="BA25" s="103">
        <f t="shared" si="40"/>
        <v>0.766464012</v>
      </c>
      <c r="BB25" s="97">
        <f t="shared" si="57"/>
        <v>1.874235852</v>
      </c>
      <c r="BC25" s="97">
        <f t="shared" si="41"/>
        <v>374.1852698</v>
      </c>
      <c r="BD25" s="103">
        <f t="shared" si="42"/>
        <v>0.8338095096</v>
      </c>
      <c r="BE25" s="97">
        <f t="shared" si="58"/>
        <v>2.179086176</v>
      </c>
    </row>
    <row r="26" ht="15.0" customHeight="1">
      <c r="A26" s="96">
        <f t="shared" si="2"/>
        <v>33.6</v>
      </c>
      <c r="B26" s="96">
        <f t="shared" si="3"/>
        <v>34.8</v>
      </c>
      <c r="C26" s="96">
        <f t="shared" si="4"/>
        <v>2.4</v>
      </c>
      <c r="D26" s="97">
        <f t="shared" si="5"/>
        <v>112.5</v>
      </c>
      <c r="E26" s="97">
        <f t="shared" si="6"/>
        <v>54</v>
      </c>
      <c r="F26" s="101">
        <f t="shared" si="7"/>
        <v>1233.083333</v>
      </c>
      <c r="G26" s="101">
        <f t="shared" si="8"/>
        <v>7956</v>
      </c>
      <c r="H26" s="101">
        <f t="shared" si="9"/>
        <v>59510.88</v>
      </c>
      <c r="I26" s="102">
        <f t="shared" si="10"/>
        <v>0.3672</v>
      </c>
      <c r="J26" s="97">
        <f t="shared" si="11"/>
        <v>1.757575099</v>
      </c>
      <c r="K26" s="103">
        <f t="shared" si="12"/>
        <v>0.003916463178</v>
      </c>
      <c r="L26" s="101">
        <f t="shared" si="43"/>
        <v>558.6663151</v>
      </c>
      <c r="M26" s="97">
        <f t="shared" si="13"/>
        <v>6.624235528</v>
      </c>
      <c r="N26" s="103">
        <f t="shared" si="14"/>
        <v>0.01476100484</v>
      </c>
      <c r="O26" s="97">
        <f t="shared" si="44"/>
        <v>148.9906649</v>
      </c>
      <c r="P26" s="97">
        <f t="shared" si="15"/>
        <v>8.171436606</v>
      </c>
      <c r="Q26" s="103">
        <f t="shared" si="16"/>
        <v>0.01820868457</v>
      </c>
      <c r="R26" s="97">
        <f t="shared" si="45"/>
        <v>119.9495752</v>
      </c>
      <c r="S26" s="97">
        <f t="shared" si="17"/>
        <v>14.84131204</v>
      </c>
      <c r="T26" s="103">
        <f t="shared" si="18"/>
        <v>0.03307139032</v>
      </c>
      <c r="U26" s="97">
        <f t="shared" si="46"/>
        <v>66.40639896</v>
      </c>
      <c r="V26" s="97">
        <f t="shared" si="19"/>
        <v>25.63059736</v>
      </c>
      <c r="W26" s="103">
        <f t="shared" si="20"/>
        <v>0.05711351444</v>
      </c>
      <c r="X26" s="98">
        <f t="shared" si="47"/>
        <v>37.86358483</v>
      </c>
      <c r="Y26" s="99">
        <f t="shared" si="21"/>
        <v>17.74314846</v>
      </c>
      <c r="Z26" s="103">
        <f t="shared" si="22"/>
        <v>0.03953764915</v>
      </c>
      <c r="AA26" s="97">
        <f t="shared" si="48"/>
        <v>55.11171554</v>
      </c>
      <c r="AB26" s="97">
        <f t="shared" si="23"/>
        <v>31.62390414</v>
      </c>
      <c r="AC26" s="103">
        <f t="shared" si="24"/>
        <v>0.07046859973</v>
      </c>
      <c r="AD26" s="97">
        <f t="shared" si="49"/>
        <v>31.05463816</v>
      </c>
      <c r="AE26" s="99">
        <f t="shared" si="25"/>
        <v>37.76018299</v>
      </c>
      <c r="AF26" s="103">
        <f t="shared" si="26"/>
        <v>0.08414227443</v>
      </c>
      <c r="AG26" s="97">
        <f t="shared" si="50"/>
        <v>25.636557</v>
      </c>
      <c r="AH26" s="97">
        <f t="shared" si="27"/>
        <v>68.61578281</v>
      </c>
      <c r="AI26" s="103">
        <f t="shared" si="28"/>
        <v>0.152898836</v>
      </c>
      <c r="AJ26" s="98">
        <f t="shared" si="51"/>
        <v>14.18320191</v>
      </c>
      <c r="AK26" s="97">
        <f t="shared" si="29"/>
        <v>34.44272164</v>
      </c>
      <c r="AL26" s="103">
        <f t="shared" si="30"/>
        <v>0.07674986473</v>
      </c>
      <c r="AM26" s="97">
        <f t="shared" si="52"/>
        <v>28.11172998</v>
      </c>
      <c r="AN26" s="97">
        <f t="shared" si="31"/>
        <v>51.66234028</v>
      </c>
      <c r="AO26" s="103">
        <f t="shared" si="32"/>
        <v>0.1151209149</v>
      </c>
      <c r="AP26" s="97">
        <f t="shared" si="53"/>
        <v>17.28388691</v>
      </c>
      <c r="AQ26" s="99">
        <f t="shared" si="33"/>
        <v>77.9473317</v>
      </c>
      <c r="AR26" s="103">
        <f t="shared" si="34"/>
        <v>0.1736926375</v>
      </c>
      <c r="AS26" s="97">
        <f t="shared" si="54"/>
        <v>12.30057496</v>
      </c>
      <c r="AT26" s="97">
        <f t="shared" si="35"/>
        <v>164.3746098</v>
      </c>
      <c r="AU26" s="103">
        <f t="shared" si="36"/>
        <v>0.3662814221</v>
      </c>
      <c r="AV26" s="98">
        <f t="shared" si="55"/>
        <v>9.196141768</v>
      </c>
      <c r="AW26" s="97">
        <f t="shared" si="37"/>
        <v>297.9432971</v>
      </c>
      <c r="AX26" s="103">
        <f t="shared" si="38"/>
        <v>0.6639169803</v>
      </c>
      <c r="AY26" s="97">
        <f t="shared" si="56"/>
        <v>3.107266383</v>
      </c>
      <c r="AZ26" s="97">
        <f t="shared" si="39"/>
        <v>337.4711748</v>
      </c>
      <c r="BA26" s="103">
        <f t="shared" si="40"/>
        <v>0.7519982678</v>
      </c>
      <c r="BB26" s="97">
        <f t="shared" si="57"/>
        <v>2.329754428</v>
      </c>
      <c r="BC26" s="97">
        <f t="shared" si="41"/>
        <v>368.5336697</v>
      </c>
      <c r="BD26" s="103">
        <f t="shared" si="42"/>
        <v>0.8212158606</v>
      </c>
      <c r="BE26" s="97">
        <f t="shared" si="58"/>
        <v>2.596210584</v>
      </c>
    </row>
    <row r="27" ht="15.0" customHeight="1">
      <c r="A27" s="96">
        <f t="shared" si="2"/>
        <v>31.2</v>
      </c>
      <c r="B27" s="96">
        <f t="shared" si="3"/>
        <v>32.4</v>
      </c>
      <c r="C27" s="96">
        <f t="shared" si="4"/>
        <v>2.4</v>
      </c>
      <c r="D27" s="97">
        <f t="shared" si="5"/>
        <v>111.25</v>
      </c>
      <c r="E27" s="97">
        <f t="shared" si="6"/>
        <v>53</v>
      </c>
      <c r="F27" s="101">
        <f t="shared" si="7"/>
        <v>1197.083333</v>
      </c>
      <c r="G27" s="101">
        <f t="shared" si="8"/>
        <v>9153.083333</v>
      </c>
      <c r="H27" s="101">
        <f t="shared" si="9"/>
        <v>68465.06333</v>
      </c>
      <c r="I27" s="102">
        <f t="shared" si="10"/>
        <v>0.42245</v>
      </c>
      <c r="J27" s="97">
        <f t="shared" si="11"/>
        <v>1.749605413</v>
      </c>
      <c r="K27" s="103">
        <f t="shared" si="12"/>
        <v>0.003898704062</v>
      </c>
      <c r="L27" s="101">
        <f t="shared" si="43"/>
        <v>643.9634843</v>
      </c>
      <c r="M27" s="97">
        <f t="shared" si="13"/>
        <v>6.609483117</v>
      </c>
      <c r="N27" s="103">
        <f t="shared" si="14"/>
        <v>0.01472813154</v>
      </c>
      <c r="O27" s="97">
        <f t="shared" si="44"/>
        <v>171.5697964</v>
      </c>
      <c r="P27" s="97">
        <f t="shared" si="15"/>
        <v>8.127875733</v>
      </c>
      <c r="Q27" s="103">
        <f t="shared" si="16"/>
        <v>0.01811161643</v>
      </c>
      <c r="R27" s="97">
        <f t="shared" si="45"/>
        <v>138.3106321</v>
      </c>
      <c r="S27" s="97">
        <f t="shared" si="17"/>
        <v>14.79884506</v>
      </c>
      <c r="T27" s="103">
        <f t="shared" si="18"/>
        <v>0.03297675975</v>
      </c>
      <c r="U27" s="97">
        <f t="shared" si="46"/>
        <v>76.49072569</v>
      </c>
      <c r="V27" s="97">
        <f t="shared" si="19"/>
        <v>25.37945026</v>
      </c>
      <c r="W27" s="103">
        <f t="shared" si="20"/>
        <v>0.056553875</v>
      </c>
      <c r="X27" s="98">
        <f t="shared" si="47"/>
        <v>43.74379056</v>
      </c>
      <c r="Y27" s="99">
        <f t="shared" si="21"/>
        <v>17.62978092</v>
      </c>
      <c r="Z27" s="103">
        <f t="shared" si="22"/>
        <v>0.03928502849</v>
      </c>
      <c r="AA27" s="97">
        <f t="shared" si="48"/>
        <v>63.57673218</v>
      </c>
      <c r="AB27" s="97">
        <f t="shared" si="23"/>
        <v>31.48298086</v>
      </c>
      <c r="AC27" s="103">
        <f t="shared" si="24"/>
        <v>0.07015457567</v>
      </c>
      <c r="AD27" s="97">
        <f t="shared" si="49"/>
        <v>35.79486239</v>
      </c>
      <c r="AE27" s="99">
        <f t="shared" si="25"/>
        <v>37.34772296</v>
      </c>
      <c r="AF27" s="103">
        <f t="shared" si="26"/>
        <v>0.08322317599</v>
      </c>
      <c r="AG27" s="97">
        <f t="shared" si="50"/>
        <v>29.63242012</v>
      </c>
      <c r="AH27" s="97">
        <f t="shared" si="27"/>
        <v>68.02991281</v>
      </c>
      <c r="AI27" s="103">
        <f t="shared" si="28"/>
        <v>0.1515933224</v>
      </c>
      <c r="AJ27" s="98">
        <f t="shared" si="51"/>
        <v>16.3768897</v>
      </c>
      <c r="AK27" s="97">
        <f t="shared" si="29"/>
        <v>34.32895448</v>
      </c>
      <c r="AL27" s="103">
        <f t="shared" si="30"/>
        <v>0.07649635357</v>
      </c>
      <c r="AM27" s="97">
        <f t="shared" si="52"/>
        <v>32.41833885</v>
      </c>
      <c r="AN27" s="97">
        <f t="shared" si="31"/>
        <v>51.47109397</v>
      </c>
      <c r="AO27" s="103">
        <f t="shared" si="32"/>
        <v>0.1146947544</v>
      </c>
      <c r="AP27" s="97">
        <f t="shared" si="53"/>
        <v>19.93840354</v>
      </c>
      <c r="AQ27" s="99">
        <f t="shared" si="33"/>
        <v>77.53402072</v>
      </c>
      <c r="AR27" s="103">
        <f t="shared" si="34"/>
        <v>0.1727716428</v>
      </c>
      <c r="AS27" s="97">
        <f t="shared" si="54"/>
        <v>14.17358567</v>
      </c>
      <c r="AT27" s="97">
        <f t="shared" si="35"/>
        <v>162.7011537</v>
      </c>
      <c r="AU27" s="103">
        <f t="shared" si="36"/>
        <v>0.3625524042</v>
      </c>
      <c r="AV27" s="98">
        <f t="shared" si="55"/>
        <v>10.63068674</v>
      </c>
      <c r="AW27" s="97">
        <f t="shared" si="37"/>
        <v>288.7190587</v>
      </c>
      <c r="AX27" s="103">
        <f t="shared" si="38"/>
        <v>0.6433623024</v>
      </c>
      <c r="AY27" s="97">
        <f t="shared" si="56"/>
        <v>3.62415775</v>
      </c>
      <c r="AZ27" s="97">
        <f t="shared" si="39"/>
        <v>330.6512758</v>
      </c>
      <c r="BA27" s="103">
        <f t="shared" si="40"/>
        <v>0.7368012595</v>
      </c>
      <c r="BB27" s="97">
        <f t="shared" si="57"/>
        <v>2.78109516</v>
      </c>
      <c r="BC27" s="97">
        <f t="shared" si="41"/>
        <v>362.5727491</v>
      </c>
      <c r="BD27" s="103">
        <f t="shared" si="42"/>
        <v>0.8079329427</v>
      </c>
      <c r="BE27" s="97">
        <f t="shared" si="58"/>
        <v>3.007814571</v>
      </c>
    </row>
    <row r="28" ht="15.0" customHeight="1">
      <c r="A28" s="96">
        <f t="shared" si="2"/>
        <v>28.8</v>
      </c>
      <c r="B28" s="96">
        <f t="shared" si="3"/>
        <v>30</v>
      </c>
      <c r="C28" s="96">
        <f t="shared" si="4"/>
        <v>2.4</v>
      </c>
      <c r="D28" s="97">
        <f t="shared" si="5"/>
        <v>110</v>
      </c>
      <c r="E28" s="97">
        <f t="shared" si="6"/>
        <v>52</v>
      </c>
      <c r="F28" s="101">
        <f t="shared" si="7"/>
        <v>1161.583333</v>
      </c>
      <c r="G28" s="101">
        <f t="shared" si="8"/>
        <v>10314.66667</v>
      </c>
      <c r="H28" s="101">
        <f t="shared" si="9"/>
        <v>77153.70667</v>
      </c>
      <c r="I28" s="102">
        <f t="shared" si="10"/>
        <v>0.4760615385</v>
      </c>
      <c r="J28" s="97">
        <f t="shared" si="11"/>
        <v>1.741062505</v>
      </c>
      <c r="K28" s="103">
        <f t="shared" si="12"/>
        <v>0.003879667615</v>
      </c>
      <c r="L28" s="101">
        <f t="shared" si="43"/>
        <v>727.1372485</v>
      </c>
      <c r="M28" s="97">
        <f t="shared" si="13"/>
        <v>6.593631567</v>
      </c>
      <c r="N28" s="103">
        <f t="shared" si="14"/>
        <v>0.01469280901</v>
      </c>
      <c r="O28" s="97">
        <f t="shared" si="44"/>
        <v>193.5320066</v>
      </c>
      <c r="P28" s="97">
        <f t="shared" si="15"/>
        <v>8.081220525</v>
      </c>
      <c r="Q28" s="103">
        <f t="shared" si="16"/>
        <v>0.01800765307</v>
      </c>
      <c r="R28" s="97">
        <f t="shared" si="45"/>
        <v>156.2300443</v>
      </c>
      <c r="S28" s="97">
        <f t="shared" si="17"/>
        <v>14.75324419</v>
      </c>
      <c r="T28" s="103">
        <f t="shared" si="18"/>
        <v>0.03287514581</v>
      </c>
      <c r="U28" s="97">
        <f t="shared" si="46"/>
        <v>86.3062429</v>
      </c>
      <c r="V28" s="97">
        <f t="shared" si="19"/>
        <v>25.11171751</v>
      </c>
      <c r="W28" s="103">
        <f t="shared" si="20"/>
        <v>0.05595727719</v>
      </c>
      <c r="X28" s="98">
        <f t="shared" si="47"/>
        <v>49.51044998</v>
      </c>
      <c r="Y28" s="99">
        <f t="shared" si="21"/>
        <v>17.50849453</v>
      </c>
      <c r="Z28" s="103">
        <f t="shared" si="22"/>
        <v>0.03901476197</v>
      </c>
      <c r="AA28" s="97">
        <f t="shared" si="48"/>
        <v>71.8476159</v>
      </c>
      <c r="AB28" s="97">
        <f t="shared" si="23"/>
        <v>31.33190929</v>
      </c>
      <c r="AC28" s="103">
        <f t="shared" si="24"/>
        <v>0.06981793787</v>
      </c>
      <c r="AD28" s="97">
        <f t="shared" si="49"/>
        <v>40.41669124</v>
      </c>
      <c r="AE28" s="99">
        <f t="shared" si="25"/>
        <v>36.90854266</v>
      </c>
      <c r="AF28" s="103">
        <f t="shared" si="26"/>
        <v>0.0822445359</v>
      </c>
      <c r="AG28" s="97">
        <f t="shared" si="50"/>
        <v>33.55592161</v>
      </c>
      <c r="AH28" s="97">
        <f t="shared" si="27"/>
        <v>67.40452673</v>
      </c>
      <c r="AI28" s="103">
        <f t="shared" si="28"/>
        <v>0.1501997537</v>
      </c>
      <c r="AJ28" s="98">
        <f t="shared" si="51"/>
        <v>18.52527245</v>
      </c>
      <c r="AK28" s="97">
        <f t="shared" si="29"/>
        <v>34.20684793</v>
      </c>
      <c r="AL28" s="103">
        <f t="shared" si="30"/>
        <v>0.07622425947</v>
      </c>
      <c r="AM28" s="97">
        <f t="shared" si="52"/>
        <v>36.62249172</v>
      </c>
      <c r="AN28" s="97">
        <f t="shared" si="31"/>
        <v>51.26591416</v>
      </c>
      <c r="AO28" s="103">
        <f t="shared" si="32"/>
        <v>0.1142375454</v>
      </c>
      <c r="AP28" s="97">
        <f t="shared" si="53"/>
        <v>22.53196283</v>
      </c>
      <c r="AQ28" s="99">
        <f t="shared" si="33"/>
        <v>77.09133715</v>
      </c>
      <c r="AR28" s="103">
        <f t="shared" si="34"/>
        <v>0.1717851963</v>
      </c>
      <c r="AS28" s="97">
        <f t="shared" si="54"/>
        <v>15.99832546</v>
      </c>
      <c r="AT28" s="97">
        <f t="shared" si="35"/>
        <v>160.9178979</v>
      </c>
      <c r="AU28" s="103">
        <f t="shared" si="36"/>
        <v>0.3585787159</v>
      </c>
      <c r="AV28" s="98">
        <f t="shared" si="55"/>
        <v>12.03964366</v>
      </c>
      <c r="AW28" s="97">
        <f t="shared" si="37"/>
        <v>279.1037414</v>
      </c>
      <c r="AX28" s="103">
        <f t="shared" si="38"/>
        <v>0.6219361705</v>
      </c>
      <c r="AY28" s="97">
        <f t="shared" si="56"/>
        <v>4.142999674</v>
      </c>
      <c r="AZ28" s="97">
        <f t="shared" si="39"/>
        <v>323.4603378</v>
      </c>
      <c r="BA28" s="103">
        <f t="shared" si="40"/>
        <v>0.7207774528</v>
      </c>
      <c r="BB28" s="97">
        <f t="shared" si="57"/>
        <v>3.228787521</v>
      </c>
      <c r="BC28" s="97">
        <f t="shared" si="41"/>
        <v>356.2606521</v>
      </c>
      <c r="BD28" s="103">
        <f t="shared" si="42"/>
        <v>0.7938674865</v>
      </c>
      <c r="BE28" s="97">
        <f t="shared" si="58"/>
        <v>3.414288654</v>
      </c>
    </row>
    <row r="29" ht="15.0" customHeight="1">
      <c r="A29" s="96">
        <f t="shared" si="2"/>
        <v>26.4</v>
      </c>
      <c r="B29" s="96">
        <f t="shared" si="3"/>
        <v>27.6</v>
      </c>
      <c r="C29" s="96">
        <f t="shared" si="4"/>
        <v>2.4</v>
      </c>
      <c r="D29" s="97">
        <f t="shared" si="5"/>
        <v>108.75</v>
      </c>
      <c r="E29" s="97">
        <f t="shared" si="6"/>
        <v>51</v>
      </c>
      <c r="F29" s="101">
        <f t="shared" si="7"/>
        <v>1126.583333</v>
      </c>
      <c r="G29" s="101">
        <f t="shared" si="8"/>
        <v>11441.25</v>
      </c>
      <c r="H29" s="101">
        <f t="shared" si="9"/>
        <v>85580.55</v>
      </c>
      <c r="I29" s="102">
        <f t="shared" si="10"/>
        <v>0.5280576923</v>
      </c>
      <c r="J29" s="97">
        <f t="shared" si="11"/>
        <v>1.731853966</v>
      </c>
      <c r="K29" s="103">
        <f t="shared" si="12"/>
        <v>0.003859147922</v>
      </c>
      <c r="L29" s="101">
        <f t="shared" si="43"/>
        <v>808.2338026</v>
      </c>
      <c r="M29" s="97">
        <f t="shared" si="13"/>
        <v>6.576500487</v>
      </c>
      <c r="N29" s="103">
        <f t="shared" si="14"/>
        <v>0.01465463525</v>
      </c>
      <c r="O29" s="97">
        <f t="shared" si="44"/>
        <v>214.8879526</v>
      </c>
      <c r="P29" s="97">
        <f t="shared" si="15"/>
        <v>8.030975253</v>
      </c>
      <c r="Q29" s="103">
        <f t="shared" si="16"/>
        <v>0.01789568986</v>
      </c>
      <c r="R29" s="97">
        <f t="shared" si="45"/>
        <v>173.7182552</v>
      </c>
      <c r="S29" s="97">
        <f t="shared" si="17"/>
        <v>14.70399758</v>
      </c>
      <c r="T29" s="103">
        <f t="shared" si="18"/>
        <v>0.03276540795</v>
      </c>
      <c r="U29" s="97">
        <f t="shared" si="46"/>
        <v>95.85788952</v>
      </c>
      <c r="V29" s="97">
        <f t="shared" si="19"/>
        <v>24.82483553</v>
      </c>
      <c r="W29" s="103">
        <f t="shared" si="20"/>
        <v>0.0553180085</v>
      </c>
      <c r="X29" s="98">
        <f t="shared" si="47"/>
        <v>55.1679855</v>
      </c>
      <c r="Y29" s="99">
        <f t="shared" si="21"/>
        <v>17.37803121</v>
      </c>
      <c r="Z29" s="103">
        <f t="shared" si="22"/>
        <v>0.03872404621</v>
      </c>
      <c r="AA29" s="97">
        <f t="shared" si="48"/>
        <v>79.9295089</v>
      </c>
      <c r="AB29" s="97">
        <f t="shared" si="23"/>
        <v>31.16905245</v>
      </c>
      <c r="AC29" s="103">
        <f t="shared" si="24"/>
        <v>0.06945503854</v>
      </c>
      <c r="AD29" s="97">
        <f t="shared" si="49"/>
        <v>44.92267965</v>
      </c>
      <c r="AE29" s="99">
        <f t="shared" si="25"/>
        <v>36.43854997</v>
      </c>
      <c r="AF29" s="103">
        <f t="shared" si="26"/>
        <v>0.08119723552</v>
      </c>
      <c r="AG29" s="97">
        <f t="shared" si="50"/>
        <v>37.41028434</v>
      </c>
      <c r="AH29" s="97">
        <f t="shared" si="27"/>
        <v>66.73345389</v>
      </c>
      <c r="AI29" s="103">
        <f t="shared" si="28"/>
        <v>0.1487043798</v>
      </c>
      <c r="AJ29" s="98">
        <f t="shared" si="51"/>
        <v>20.62987487</v>
      </c>
      <c r="AK29" s="97">
        <f t="shared" si="29"/>
        <v>34.07504463</v>
      </c>
      <c r="AL29" s="103">
        <f t="shared" si="30"/>
        <v>0.07593055779</v>
      </c>
      <c r="AM29" s="97">
        <f t="shared" si="52"/>
        <v>40.72667609</v>
      </c>
      <c r="AN29" s="97">
        <f t="shared" si="31"/>
        <v>51.04453998</v>
      </c>
      <c r="AO29" s="103">
        <f t="shared" si="32"/>
        <v>0.1137442499</v>
      </c>
      <c r="AP29" s="97">
        <f t="shared" si="53"/>
        <v>25.06617444</v>
      </c>
      <c r="AQ29" s="99">
        <f t="shared" si="33"/>
        <v>76.61457432</v>
      </c>
      <c r="AR29" s="103">
        <f t="shared" si="34"/>
        <v>0.1707228098</v>
      </c>
      <c r="AS29" s="97">
        <f t="shared" si="54"/>
        <v>17.77575873</v>
      </c>
      <c r="AT29" s="97">
        <f t="shared" si="35"/>
        <v>159.0079241</v>
      </c>
      <c r="AU29" s="103">
        <f t="shared" si="36"/>
        <v>0.3543226574</v>
      </c>
      <c r="AV29" s="98">
        <f t="shared" si="55"/>
        <v>13.4241879</v>
      </c>
      <c r="AW29" s="97">
        <f t="shared" si="37"/>
        <v>269.0473267</v>
      </c>
      <c r="AX29" s="103">
        <f t="shared" si="38"/>
        <v>0.5995271263</v>
      </c>
      <c r="AY29" s="97">
        <f t="shared" si="56"/>
        <v>4.665017085</v>
      </c>
      <c r="AZ29" s="97">
        <f t="shared" si="39"/>
        <v>315.8458814</v>
      </c>
      <c r="BA29" s="103">
        <f t="shared" si="40"/>
        <v>0.7038099056</v>
      </c>
      <c r="BB29" s="97">
        <f t="shared" si="57"/>
        <v>3.673458157</v>
      </c>
      <c r="BC29" s="97">
        <f t="shared" si="41"/>
        <v>349.5459228</v>
      </c>
      <c r="BD29" s="103">
        <f t="shared" si="42"/>
        <v>0.7789048313</v>
      </c>
      <c r="BE29" s="97">
        <f t="shared" si="58"/>
        <v>3.816088188</v>
      </c>
    </row>
    <row r="30" ht="15.0" customHeight="1">
      <c r="A30" s="96">
        <f t="shared" si="2"/>
        <v>24</v>
      </c>
      <c r="B30" s="96">
        <f t="shared" si="3"/>
        <v>25.2</v>
      </c>
      <c r="C30" s="96">
        <f t="shared" si="4"/>
        <v>2.4</v>
      </c>
      <c r="D30" s="97">
        <f t="shared" si="5"/>
        <v>107.5</v>
      </c>
      <c r="E30" s="97">
        <f t="shared" si="6"/>
        <v>50</v>
      </c>
      <c r="F30" s="101">
        <f t="shared" si="7"/>
        <v>1092.083333</v>
      </c>
      <c r="G30" s="101">
        <f t="shared" si="8"/>
        <v>12533.33333</v>
      </c>
      <c r="H30" s="101">
        <f t="shared" si="9"/>
        <v>93749.33333</v>
      </c>
      <c r="I30" s="102">
        <f t="shared" si="10"/>
        <v>0.5784615385</v>
      </c>
      <c r="J30" s="97">
        <f t="shared" si="11"/>
        <v>1.721862728</v>
      </c>
      <c r="K30" s="103">
        <f t="shared" si="12"/>
        <v>0.003836884113</v>
      </c>
      <c r="L30" s="101">
        <f t="shared" si="43"/>
        <v>887.3030493</v>
      </c>
      <c r="M30" s="97">
        <f t="shared" si="13"/>
        <v>6.557860743</v>
      </c>
      <c r="N30" s="103">
        <f t="shared" si="14"/>
        <v>0.01461309969</v>
      </c>
      <c r="O30" s="97">
        <f t="shared" si="44"/>
        <v>235.6487455</v>
      </c>
      <c r="P30" s="97">
        <f t="shared" si="15"/>
        <v>7.976512475</v>
      </c>
      <c r="Q30" s="103">
        <f t="shared" si="16"/>
        <v>0.01777432863</v>
      </c>
      <c r="R30" s="97">
        <f t="shared" si="45"/>
        <v>190.7866657</v>
      </c>
      <c r="S30" s="97">
        <f t="shared" si="17"/>
        <v>14.65045558</v>
      </c>
      <c r="T30" s="103">
        <f t="shared" si="18"/>
        <v>0.03264609853</v>
      </c>
      <c r="U30" s="97">
        <f t="shared" si="46"/>
        <v>105.1508694</v>
      </c>
      <c r="V30" s="97">
        <f t="shared" si="19"/>
        <v>24.51557607</v>
      </c>
      <c r="W30" s="103">
        <f t="shared" si="20"/>
        <v>0.05462887535</v>
      </c>
      <c r="X30" s="98">
        <f t="shared" si="47"/>
        <v>60.72145031</v>
      </c>
      <c r="Y30" s="99">
        <f t="shared" si="21"/>
        <v>17.23680056</v>
      </c>
      <c r="Z30" s="103">
        <f t="shared" si="22"/>
        <v>0.03840933725</v>
      </c>
      <c r="AA30" s="97">
        <f t="shared" si="48"/>
        <v>87.82809707</v>
      </c>
      <c r="AB30" s="97">
        <f t="shared" si="23"/>
        <v>30.9923363</v>
      </c>
      <c r="AC30" s="103">
        <f t="shared" si="24"/>
        <v>0.06906125605</v>
      </c>
      <c r="AD30" s="97">
        <f t="shared" si="49"/>
        <v>49.31558464</v>
      </c>
      <c r="AE30" s="99">
        <f t="shared" si="25"/>
        <v>35.93259841</v>
      </c>
      <c r="AF30" s="103">
        <f t="shared" si="26"/>
        <v>0.08006980678</v>
      </c>
      <c r="AG30" s="97">
        <f t="shared" si="50"/>
        <v>41.19922238</v>
      </c>
      <c r="AH30" s="97">
        <f t="shared" si="27"/>
        <v>66.00891254</v>
      </c>
      <c r="AI30" s="103">
        <f t="shared" si="28"/>
        <v>0.1470898601</v>
      </c>
      <c r="AJ30" s="98">
        <f t="shared" si="51"/>
        <v>22.69242042</v>
      </c>
      <c r="AK30" s="97">
        <f t="shared" si="29"/>
        <v>33.93182261</v>
      </c>
      <c r="AL30" s="103">
        <f t="shared" si="30"/>
        <v>0.07561141138</v>
      </c>
      <c r="AM30" s="97">
        <f t="shared" si="52"/>
        <v>44.73361607</v>
      </c>
      <c r="AN30" s="97">
        <f t="shared" si="31"/>
        <v>50.80410453</v>
      </c>
      <c r="AO30" s="103">
        <f t="shared" si="32"/>
        <v>0.1132084796</v>
      </c>
      <c r="AP30" s="97">
        <f t="shared" si="53"/>
        <v>27.54281766</v>
      </c>
      <c r="AQ30" s="99">
        <f t="shared" si="33"/>
        <v>76.09777477</v>
      </c>
      <c r="AR30" s="103">
        <f t="shared" si="34"/>
        <v>0.1695712081</v>
      </c>
      <c r="AS30" s="97">
        <f t="shared" si="54"/>
        <v>19.50691492</v>
      </c>
      <c r="AT30" s="97">
        <f t="shared" si="35"/>
        <v>156.9499366</v>
      </c>
      <c r="AU30" s="103">
        <f t="shared" si="36"/>
        <v>0.3497367753</v>
      </c>
      <c r="AV30" s="98">
        <f t="shared" si="55"/>
        <v>14.78567643</v>
      </c>
      <c r="AW30" s="97">
        <f t="shared" si="37"/>
        <v>258.4883487</v>
      </c>
      <c r="AX30" s="103">
        <f t="shared" si="38"/>
        <v>0.5759982037</v>
      </c>
      <c r="AY30" s="97">
        <f t="shared" si="56"/>
        <v>5.191719312</v>
      </c>
      <c r="AZ30" s="97">
        <f t="shared" si="39"/>
        <v>307.7426065</v>
      </c>
      <c r="BA30" s="103">
        <f t="shared" si="40"/>
        <v>0.6857531081</v>
      </c>
      <c r="BB30" s="97">
        <f t="shared" si="57"/>
        <v>4.1158616</v>
      </c>
      <c r="BC30" s="97">
        <f t="shared" si="41"/>
        <v>342.3642364</v>
      </c>
      <c r="BD30" s="103">
        <f t="shared" si="42"/>
        <v>0.76290164</v>
      </c>
      <c r="BE30" s="97">
        <f t="shared" si="58"/>
        <v>4.213753524</v>
      </c>
    </row>
    <row r="31" ht="15.0" customHeight="1">
      <c r="A31" s="96">
        <f t="shared" si="2"/>
        <v>21.6</v>
      </c>
      <c r="B31" s="96">
        <f t="shared" si="3"/>
        <v>22.8</v>
      </c>
      <c r="C31" s="96">
        <f t="shared" si="4"/>
        <v>2.4</v>
      </c>
      <c r="D31" s="97">
        <f t="shared" si="5"/>
        <v>106.25</v>
      </c>
      <c r="E31" s="97">
        <f t="shared" si="6"/>
        <v>49</v>
      </c>
      <c r="F31" s="101">
        <f t="shared" si="7"/>
        <v>1058.083333</v>
      </c>
      <c r="G31" s="101">
        <f t="shared" si="8"/>
        <v>13591.41667</v>
      </c>
      <c r="H31" s="101">
        <f t="shared" si="9"/>
        <v>101663.7967</v>
      </c>
      <c r="I31" s="102">
        <f t="shared" si="10"/>
        <v>0.6272961538</v>
      </c>
      <c r="J31" s="97">
        <f t="shared" si="11"/>
        <v>1.710937351</v>
      </c>
      <c r="K31" s="103">
        <f t="shared" si="12"/>
        <v>0.003812538729</v>
      </c>
      <c r="L31" s="101">
        <f t="shared" si="43"/>
        <v>964.3998069</v>
      </c>
      <c r="M31" s="97">
        <f t="shared" si="13"/>
        <v>6.537415079</v>
      </c>
      <c r="N31" s="103">
        <f t="shared" si="14"/>
        <v>0.01456753994</v>
      </c>
      <c r="O31" s="97">
        <f t="shared" si="44"/>
        <v>255.826097</v>
      </c>
      <c r="P31" s="97">
        <f t="shared" si="15"/>
        <v>7.917021328</v>
      </c>
      <c r="Q31" s="103">
        <f t="shared" si="16"/>
        <v>0.01764176253</v>
      </c>
      <c r="R31" s="97">
        <f t="shared" si="45"/>
        <v>207.4479473</v>
      </c>
      <c r="S31" s="97">
        <f t="shared" si="17"/>
        <v>14.59177606</v>
      </c>
      <c r="T31" s="103">
        <f t="shared" si="18"/>
        <v>0.03251534098</v>
      </c>
      <c r="U31" s="97">
        <f t="shared" si="46"/>
        <v>114.1907369</v>
      </c>
      <c r="V31" s="97">
        <f t="shared" si="19"/>
        <v>24.17979031</v>
      </c>
      <c r="W31" s="103">
        <f t="shared" si="20"/>
        <v>0.05388063273</v>
      </c>
      <c r="X31" s="98">
        <f t="shared" si="47"/>
        <v>66.1767384</v>
      </c>
      <c r="Y31" s="99">
        <f t="shared" si="21"/>
        <v>17.08274995</v>
      </c>
      <c r="Z31" s="103">
        <f t="shared" si="22"/>
        <v>0.03806606114</v>
      </c>
      <c r="AA31" s="97">
        <f t="shared" si="48"/>
        <v>95.5497884</v>
      </c>
      <c r="AB31" s="97">
        <f t="shared" si="23"/>
        <v>30.7990776</v>
      </c>
      <c r="AC31" s="103">
        <f t="shared" si="24"/>
        <v>0.06863061126</v>
      </c>
      <c r="AD31" s="97">
        <f t="shared" si="49"/>
        <v>53.59843116</v>
      </c>
      <c r="AE31" s="99">
        <f t="shared" si="25"/>
        <v>35.38408311</v>
      </c>
      <c r="AF31" s="103">
        <f t="shared" si="26"/>
        <v>0.07884753187</v>
      </c>
      <c r="AG31" s="97">
        <f t="shared" si="50"/>
        <v>44.92710539</v>
      </c>
      <c r="AH31" s="97">
        <f t="shared" si="27"/>
        <v>65.22088608</v>
      </c>
      <c r="AI31" s="103">
        <f t="shared" si="28"/>
        <v>0.1453338745</v>
      </c>
      <c r="AJ31" s="98">
        <f t="shared" si="51"/>
        <v>24.71489712</v>
      </c>
      <c r="AK31" s="97">
        <f t="shared" si="29"/>
        <v>33.77495089</v>
      </c>
      <c r="AL31" s="103">
        <f t="shared" si="30"/>
        <v>0.07526184891</v>
      </c>
      <c r="AM31" s="97">
        <f t="shared" si="52"/>
        <v>48.64634982</v>
      </c>
      <c r="AN31" s="97">
        <f t="shared" si="31"/>
        <v>50.54089536</v>
      </c>
      <c r="AO31" s="103">
        <f t="shared" si="32"/>
        <v>0.1126219618</v>
      </c>
      <c r="AP31" s="97">
        <f t="shared" si="53"/>
        <v>29.96389703</v>
      </c>
      <c r="AQ31" s="99">
        <f t="shared" si="33"/>
        <v>75.53323924</v>
      </c>
      <c r="AR31" s="103">
        <f t="shared" si="34"/>
        <v>0.1683132348</v>
      </c>
      <c r="AS31" s="97">
        <f t="shared" si="54"/>
        <v>21.19290968</v>
      </c>
      <c r="AT31" s="97">
        <f t="shared" si="35"/>
        <v>154.7165801</v>
      </c>
      <c r="AU31" s="103">
        <f t="shared" si="36"/>
        <v>0.3447601127</v>
      </c>
      <c r="AV31" s="98">
        <f t="shared" si="55"/>
        <v>16.12570863</v>
      </c>
      <c r="AW31" s="97">
        <f t="shared" si="37"/>
        <v>247.3498893</v>
      </c>
      <c r="AX31" s="103">
        <f t="shared" si="38"/>
        <v>0.5511780033</v>
      </c>
      <c r="AY31" s="97">
        <f t="shared" si="56"/>
        <v>5.725003246</v>
      </c>
      <c r="AZ31" s="97">
        <f t="shared" si="39"/>
        <v>299.0676782</v>
      </c>
      <c r="BA31" s="103">
        <f t="shared" si="40"/>
        <v>0.6664224763</v>
      </c>
      <c r="BB31" s="97">
        <f t="shared" si="57"/>
        <v>4.556924717</v>
      </c>
      <c r="BC31" s="97">
        <f t="shared" si="41"/>
        <v>334.6335805</v>
      </c>
      <c r="BD31" s="103">
        <f t="shared" si="42"/>
        <v>0.7456751619</v>
      </c>
      <c r="BE31" s="97">
        <f t="shared" si="58"/>
        <v>4.607939075</v>
      </c>
    </row>
    <row r="32" ht="15.0" customHeight="1">
      <c r="A32" s="96">
        <f t="shared" si="2"/>
        <v>19.2</v>
      </c>
      <c r="B32" s="96">
        <f t="shared" si="3"/>
        <v>20.4</v>
      </c>
      <c r="C32" s="96">
        <f t="shared" si="4"/>
        <v>2.4</v>
      </c>
      <c r="D32" s="97">
        <f t="shared" si="5"/>
        <v>105</v>
      </c>
      <c r="E32" s="97">
        <f t="shared" si="6"/>
        <v>48</v>
      </c>
      <c r="F32" s="101">
        <f t="shared" si="7"/>
        <v>1024.583333</v>
      </c>
      <c r="G32" s="101">
        <f t="shared" si="8"/>
        <v>14616</v>
      </c>
      <c r="H32" s="101">
        <f t="shared" si="9"/>
        <v>109327.68</v>
      </c>
      <c r="I32" s="102">
        <f t="shared" si="10"/>
        <v>0.6745846154</v>
      </c>
      <c r="J32" s="97">
        <f t="shared" si="11"/>
        <v>1.698876972</v>
      </c>
      <c r="K32" s="103">
        <f t="shared" si="12"/>
        <v>0.003785664186</v>
      </c>
      <c r="L32" s="101">
        <f t="shared" si="43"/>
        <v>1039.585586</v>
      </c>
      <c r="M32" s="97">
        <f t="shared" si="13"/>
        <v>6.514767999</v>
      </c>
      <c r="N32" s="103">
        <f t="shared" si="14"/>
        <v>0.01451707469</v>
      </c>
      <c r="O32" s="97">
        <f t="shared" si="44"/>
        <v>275.4325341</v>
      </c>
      <c r="P32" s="97">
        <f t="shared" si="15"/>
        <v>7.851427501</v>
      </c>
      <c r="Q32" s="103">
        <f t="shared" si="16"/>
        <v>0.01749559762</v>
      </c>
      <c r="R32" s="97">
        <f t="shared" si="45"/>
        <v>223.7165034</v>
      </c>
      <c r="S32" s="97">
        <f t="shared" si="17"/>
        <v>14.5268395</v>
      </c>
      <c r="T32" s="103">
        <f t="shared" si="18"/>
        <v>0.03237064068</v>
      </c>
      <c r="U32" s="97">
        <f t="shared" si="46"/>
        <v>122.9835228</v>
      </c>
      <c r="V32" s="97">
        <f t="shared" si="19"/>
        <v>23.81201489</v>
      </c>
      <c r="W32" s="103">
        <f t="shared" si="20"/>
        <v>0.05306110651</v>
      </c>
      <c r="X32" s="98">
        <f t="shared" si="47"/>
        <v>71.54089551</v>
      </c>
      <c r="Y32" s="99">
        <f t="shared" si="21"/>
        <v>16.91316377</v>
      </c>
      <c r="Z32" s="103">
        <f t="shared" si="22"/>
        <v>0.0376881666</v>
      </c>
      <c r="AA32" s="97">
        <f t="shared" si="48"/>
        <v>103.1019762</v>
      </c>
      <c r="AB32" s="97">
        <f t="shared" si="23"/>
        <v>30.58571713</v>
      </c>
      <c r="AC32" s="103">
        <f t="shared" si="24"/>
        <v>0.068155173</v>
      </c>
      <c r="AD32" s="97">
        <f t="shared" si="49"/>
        <v>57.77460883</v>
      </c>
      <c r="AE32" s="99">
        <f t="shared" si="25"/>
        <v>34.78431996</v>
      </c>
      <c r="AF32" s="103">
        <f t="shared" si="26"/>
        <v>0.07751105964</v>
      </c>
      <c r="AG32" s="97">
        <f t="shared" si="50"/>
        <v>48.59920216</v>
      </c>
      <c r="AH32" s="97">
        <f t="shared" si="27"/>
        <v>64.35616156</v>
      </c>
      <c r="AI32" s="103">
        <f t="shared" si="28"/>
        <v>0.14340698</v>
      </c>
      <c r="AJ32" s="98">
        <f t="shared" si="51"/>
        <v>26.69965484</v>
      </c>
      <c r="AK32" s="97">
        <f t="shared" si="29"/>
        <v>33.60146553</v>
      </c>
      <c r="AL32" s="103">
        <f t="shared" si="30"/>
        <v>0.07487526569</v>
      </c>
      <c r="AM32" s="97">
        <f t="shared" si="52"/>
        <v>52.46834351</v>
      </c>
      <c r="AN32" s="97">
        <f t="shared" si="31"/>
        <v>50.24998293</v>
      </c>
      <c r="AO32" s="103">
        <f t="shared" si="32"/>
        <v>0.111973712</v>
      </c>
      <c r="AP32" s="97">
        <f t="shared" si="53"/>
        <v>32.33172448</v>
      </c>
      <c r="AQ32" s="99">
        <f t="shared" si="33"/>
        <v>74.91076664</v>
      </c>
      <c r="AR32" s="103">
        <f t="shared" si="34"/>
        <v>0.1669261583</v>
      </c>
      <c r="AS32" s="97">
        <f t="shared" si="54"/>
        <v>22.83497581</v>
      </c>
      <c r="AT32" s="97">
        <f t="shared" si="35"/>
        <v>152.271851</v>
      </c>
      <c r="AU32" s="103">
        <f t="shared" si="36"/>
        <v>0.3393124414</v>
      </c>
      <c r="AV32" s="98">
        <f t="shared" si="55"/>
        <v>17.44621645</v>
      </c>
      <c r="AW32" s="97">
        <f t="shared" si="37"/>
        <v>235.5335787</v>
      </c>
      <c r="AX32" s="103">
        <f t="shared" si="38"/>
        <v>0.5248473245</v>
      </c>
      <c r="AY32" s="97">
        <f t="shared" si="56"/>
        <v>6.267309739</v>
      </c>
      <c r="AZ32" s="97">
        <f t="shared" si="39"/>
        <v>289.7135663</v>
      </c>
      <c r="BA32" s="103">
        <f t="shared" si="40"/>
        <v>0.6455783968</v>
      </c>
      <c r="BB32" s="97">
        <f t="shared" si="57"/>
        <v>4.997813249</v>
      </c>
      <c r="BC32" s="97">
        <f t="shared" si="41"/>
        <v>326.246899</v>
      </c>
      <c r="BD32" s="103">
        <f t="shared" si="42"/>
        <v>0.72698684</v>
      </c>
      <c r="BE32" s="97">
        <f t="shared" si="58"/>
        <v>4.999456632</v>
      </c>
    </row>
    <row r="33" ht="15.0" customHeight="1">
      <c r="A33" s="96">
        <f t="shared" si="2"/>
        <v>16.8</v>
      </c>
      <c r="B33" s="96">
        <f t="shared" si="3"/>
        <v>18</v>
      </c>
      <c r="C33" s="96">
        <f t="shared" si="4"/>
        <v>2.4</v>
      </c>
      <c r="D33" s="97">
        <f t="shared" si="5"/>
        <v>103.75</v>
      </c>
      <c r="E33" s="97">
        <f t="shared" si="6"/>
        <v>47</v>
      </c>
      <c r="F33" s="101">
        <f t="shared" si="7"/>
        <v>991.5833333</v>
      </c>
      <c r="G33" s="101">
        <f t="shared" si="8"/>
        <v>15607.58333</v>
      </c>
      <c r="H33" s="101">
        <f t="shared" si="9"/>
        <v>116744.7233</v>
      </c>
      <c r="I33" s="102">
        <f t="shared" si="10"/>
        <v>0.72035</v>
      </c>
      <c r="J33" s="97">
        <f t="shared" si="11"/>
        <v>1.685406957</v>
      </c>
      <c r="K33" s="103">
        <f t="shared" si="12"/>
        <v>0.003755648503</v>
      </c>
      <c r="L33" s="101">
        <f t="shared" si="43"/>
        <v>1112.931307</v>
      </c>
      <c r="M33" s="97">
        <f t="shared" si="13"/>
        <v>6.489376853</v>
      </c>
      <c r="N33" s="103">
        <f t="shared" si="14"/>
        <v>0.01446049475</v>
      </c>
      <c r="O33" s="97">
        <f t="shared" si="44"/>
        <v>294.4817266</v>
      </c>
      <c r="P33" s="97">
        <f t="shared" si="15"/>
        <v>7.778263863</v>
      </c>
      <c r="Q33" s="103">
        <f t="shared" si="16"/>
        <v>0.01733256464</v>
      </c>
      <c r="R33" s="97">
        <f t="shared" si="45"/>
        <v>239.6091745</v>
      </c>
      <c r="S33" s="97">
        <f t="shared" si="17"/>
        <v>14.45411134</v>
      </c>
      <c r="T33" s="103">
        <f t="shared" si="18"/>
        <v>0.03220857811</v>
      </c>
      <c r="U33" s="97">
        <f t="shared" si="46"/>
        <v>131.535926</v>
      </c>
      <c r="V33" s="97">
        <f t="shared" si="19"/>
        <v>23.40483908</v>
      </c>
      <c r="W33" s="103">
        <f t="shared" si="20"/>
        <v>0.05215378309</v>
      </c>
      <c r="X33" s="98">
        <f t="shared" si="47"/>
        <v>76.82259766</v>
      </c>
      <c r="Y33" s="99">
        <f t="shared" si="21"/>
        <v>16.72433938</v>
      </c>
      <c r="Z33" s="103">
        <f t="shared" si="22"/>
        <v>0.03726740292</v>
      </c>
      <c r="AA33" s="97">
        <f t="shared" si="48"/>
        <v>110.4934424</v>
      </c>
      <c r="AB33" s="97">
        <f t="shared" si="23"/>
        <v>30.34738775</v>
      </c>
      <c r="AC33" s="103">
        <f t="shared" si="24"/>
        <v>0.0676240957</v>
      </c>
      <c r="AD33" s="97">
        <f t="shared" si="49"/>
        <v>61.84802002</v>
      </c>
      <c r="AE33" s="99">
        <f t="shared" si="25"/>
        <v>34.12154948</v>
      </c>
      <c r="AF33" s="103">
        <f t="shared" si="26"/>
        <v>0.07603418609</v>
      </c>
      <c r="AG33" s="97">
        <f t="shared" si="50"/>
        <v>52.22205606</v>
      </c>
      <c r="AH33" s="97">
        <f t="shared" si="27"/>
        <v>63.39678199</v>
      </c>
      <c r="AI33" s="103">
        <f t="shared" si="28"/>
        <v>0.1412691625</v>
      </c>
      <c r="AJ33" s="98">
        <f t="shared" si="51"/>
        <v>28.6495549</v>
      </c>
      <c r="AK33" s="97">
        <f t="shared" si="29"/>
        <v>33.40730637</v>
      </c>
      <c r="AL33" s="103">
        <f t="shared" si="30"/>
        <v>0.07444261435</v>
      </c>
      <c r="AM33" s="97">
        <f t="shared" si="52"/>
        <v>56.203666</v>
      </c>
      <c r="AN33" s="97">
        <f t="shared" si="31"/>
        <v>49.92461861</v>
      </c>
      <c r="AO33" s="103">
        <f t="shared" si="32"/>
        <v>0.1112486918</v>
      </c>
      <c r="AP33" s="97">
        <f t="shared" si="53"/>
        <v>34.64904506</v>
      </c>
      <c r="AQ33" s="99">
        <f t="shared" si="33"/>
        <v>74.21642517</v>
      </c>
      <c r="AR33" s="103">
        <f t="shared" si="34"/>
        <v>0.1653789341</v>
      </c>
      <c r="AS33" s="97">
        <f t="shared" si="54"/>
        <v>24.43451078</v>
      </c>
      <c r="AT33" s="97">
        <f t="shared" si="35"/>
        <v>149.5669405</v>
      </c>
      <c r="AU33" s="103">
        <f t="shared" si="36"/>
        <v>0.333284999</v>
      </c>
      <c r="AV33" s="98">
        <f t="shared" si="55"/>
        <v>18.7496034</v>
      </c>
      <c r="AW33" s="97">
        <f t="shared" si="37"/>
        <v>222.9102421</v>
      </c>
      <c r="AX33" s="103">
        <f t="shared" si="38"/>
        <v>0.4967183229</v>
      </c>
      <c r="AY33" s="97">
        <f t="shared" si="56"/>
        <v>6.821871017</v>
      </c>
      <c r="AZ33" s="97">
        <f t="shared" si="39"/>
        <v>279.5367091</v>
      </c>
      <c r="BA33" s="103">
        <f t="shared" si="40"/>
        <v>0.6229009667</v>
      </c>
      <c r="BB33" s="97">
        <f t="shared" si="57"/>
        <v>5.440035629</v>
      </c>
      <c r="BC33" s="97">
        <f t="shared" si="41"/>
        <v>317.0603786</v>
      </c>
      <c r="BD33" s="103">
        <f t="shared" si="42"/>
        <v>0.7065162103</v>
      </c>
      <c r="BE33" s="97">
        <f t="shared" si="58"/>
        <v>5.389342588</v>
      </c>
    </row>
    <row r="34" ht="15.0" customHeight="1">
      <c r="A34" s="96">
        <f t="shared" si="2"/>
        <v>14.4</v>
      </c>
      <c r="B34" s="96">
        <f t="shared" si="3"/>
        <v>15.6</v>
      </c>
      <c r="C34" s="96">
        <f t="shared" si="4"/>
        <v>2.4</v>
      </c>
      <c r="D34" s="97">
        <f t="shared" si="5"/>
        <v>102.5</v>
      </c>
      <c r="E34" s="97">
        <f t="shared" si="6"/>
        <v>46</v>
      </c>
      <c r="F34" s="101">
        <f t="shared" si="7"/>
        <v>959.0833333</v>
      </c>
      <c r="G34" s="101">
        <f t="shared" si="8"/>
        <v>16566.66667</v>
      </c>
      <c r="H34" s="101">
        <f t="shared" si="9"/>
        <v>123918.6667</v>
      </c>
      <c r="I34" s="102">
        <f t="shared" si="10"/>
        <v>0.7646153846</v>
      </c>
      <c r="J34" s="97">
        <f t="shared" si="11"/>
        <v>1.6701373</v>
      </c>
      <c r="K34" s="103">
        <f t="shared" si="12"/>
        <v>0.003721622617</v>
      </c>
      <c r="L34" s="101">
        <f t="shared" si="43"/>
        <v>1184.521662</v>
      </c>
      <c r="M34" s="97">
        <f t="shared" si="13"/>
        <v>6.460468015</v>
      </c>
      <c r="N34" s="103">
        <f t="shared" si="14"/>
        <v>0.01439607623</v>
      </c>
      <c r="O34" s="97">
        <f t="shared" si="44"/>
        <v>312.9890115</v>
      </c>
      <c r="P34" s="97">
        <f t="shared" si="15"/>
        <v>7.695449779</v>
      </c>
      <c r="Q34" s="103">
        <f t="shared" si="16"/>
        <v>0.01714802726</v>
      </c>
      <c r="R34" s="97">
        <f t="shared" si="45"/>
        <v>255.1463719</v>
      </c>
      <c r="S34" s="97">
        <f t="shared" si="17"/>
        <v>14.37140621</v>
      </c>
      <c r="T34" s="103">
        <f t="shared" si="18"/>
        <v>0.0320242835</v>
      </c>
      <c r="U34" s="97">
        <f t="shared" si="46"/>
        <v>139.8556214</v>
      </c>
      <c r="V34" s="97">
        <f t="shared" si="19"/>
        <v>22.94783286</v>
      </c>
      <c r="W34" s="103">
        <f t="shared" si="20"/>
        <v>0.05113542088</v>
      </c>
      <c r="X34" s="98">
        <f t="shared" si="47"/>
        <v>82.03292506</v>
      </c>
      <c r="Y34" s="99">
        <f t="shared" si="21"/>
        <v>16.51103525</v>
      </c>
      <c r="Z34" s="103">
        <f t="shared" si="22"/>
        <v>0.03679209022</v>
      </c>
      <c r="AA34" s="97">
        <f t="shared" si="48"/>
        <v>117.7350066</v>
      </c>
      <c r="AB34" s="97">
        <f t="shared" si="23"/>
        <v>30.07717686</v>
      </c>
      <c r="AC34" s="103">
        <f t="shared" si="24"/>
        <v>0.06702197577</v>
      </c>
      <c r="AD34" s="97">
        <f t="shared" si="49"/>
        <v>65.82331739</v>
      </c>
      <c r="AE34" s="99">
        <f t="shared" si="25"/>
        <v>33.37925284</v>
      </c>
      <c r="AF34" s="103">
        <f t="shared" si="26"/>
        <v>0.07438010175</v>
      </c>
      <c r="AG34" s="97">
        <f t="shared" si="50"/>
        <v>55.80409317</v>
      </c>
      <c r="AH34" s="97">
        <f t="shared" si="27"/>
        <v>62.31742002</v>
      </c>
      <c r="AI34" s="103">
        <f t="shared" si="28"/>
        <v>0.1388639843</v>
      </c>
      <c r="AJ34" s="98">
        <f t="shared" si="51"/>
        <v>30.56821139</v>
      </c>
      <c r="AK34" s="97">
        <f t="shared" si="29"/>
        <v>33.18669559</v>
      </c>
      <c r="AL34" s="103">
        <f t="shared" si="30"/>
        <v>0.07395102001</v>
      </c>
      <c r="AM34" s="97">
        <f t="shared" si="52"/>
        <v>59.85726945</v>
      </c>
      <c r="AN34" s="97">
        <f t="shared" si="31"/>
        <v>49.55520528</v>
      </c>
      <c r="AO34" s="103">
        <f t="shared" si="32"/>
        <v>0.1104255158</v>
      </c>
      <c r="AP34" s="97">
        <f t="shared" si="53"/>
        <v>36.91923949</v>
      </c>
      <c r="AQ34" s="99">
        <f t="shared" si="33"/>
        <v>73.43045636</v>
      </c>
      <c r="AR34" s="103">
        <f t="shared" si="34"/>
        <v>0.1636275336</v>
      </c>
      <c r="AS34" s="97">
        <f t="shared" si="54"/>
        <v>25.99315266</v>
      </c>
      <c r="AT34" s="97">
        <f t="shared" si="35"/>
        <v>146.5331986</v>
      </c>
      <c r="AU34" s="103">
        <f t="shared" si="36"/>
        <v>0.3265248108</v>
      </c>
      <c r="AV34" s="98">
        <f t="shared" si="55"/>
        <v>20.03896983</v>
      </c>
      <c r="AW34" s="97">
        <f t="shared" si="37"/>
        <v>209.3045791</v>
      </c>
      <c r="AX34" s="103">
        <f t="shared" si="38"/>
        <v>0.4664003705</v>
      </c>
      <c r="AY34" s="97">
        <f t="shared" si="56"/>
        <v>7.393123317</v>
      </c>
      <c r="AZ34" s="97">
        <f t="shared" si="39"/>
        <v>268.3386256</v>
      </c>
      <c r="BA34" s="103">
        <f t="shared" si="40"/>
        <v>0.5979479041</v>
      </c>
      <c r="BB34" s="97">
        <f t="shared" si="57"/>
        <v>5.885613384</v>
      </c>
      <c r="BC34" s="97">
        <f t="shared" si="41"/>
        <v>306.8738073</v>
      </c>
      <c r="BD34" s="103">
        <f t="shared" si="42"/>
        <v>0.683817134</v>
      </c>
      <c r="BE34" s="97">
        <f t="shared" si="58"/>
        <v>5.778967637</v>
      </c>
    </row>
    <row r="35" ht="15.0" customHeight="1">
      <c r="A35" s="96">
        <f t="shared" si="2"/>
        <v>12</v>
      </c>
      <c r="B35" s="96">
        <f t="shared" si="3"/>
        <v>13.2</v>
      </c>
      <c r="C35" s="96">
        <f t="shared" si="4"/>
        <v>2.4</v>
      </c>
      <c r="D35" s="97">
        <f t="shared" si="5"/>
        <v>101.25</v>
      </c>
      <c r="E35" s="97">
        <f t="shared" si="6"/>
        <v>45</v>
      </c>
      <c r="F35" s="101">
        <f t="shared" si="7"/>
        <v>927.0833333</v>
      </c>
      <c r="G35" s="101">
        <f t="shared" si="8"/>
        <v>17493.75</v>
      </c>
      <c r="H35" s="101">
        <f t="shared" si="9"/>
        <v>130853.25</v>
      </c>
      <c r="I35" s="102">
        <f t="shared" si="10"/>
        <v>0.8074038462</v>
      </c>
      <c r="J35" s="97">
        <f t="shared" si="11"/>
        <v>1.652486625</v>
      </c>
      <c r="K35" s="103">
        <f t="shared" si="12"/>
        <v>0.003682291029</v>
      </c>
      <c r="L35" s="101">
        <f t="shared" si="43"/>
        <v>1254.462555</v>
      </c>
      <c r="M35" s="97">
        <f t="shared" si="13"/>
        <v>6.426883091</v>
      </c>
      <c r="N35" s="103">
        <f t="shared" si="14"/>
        <v>0.01432123782</v>
      </c>
      <c r="O35" s="97">
        <f t="shared" si="44"/>
        <v>330.9722838</v>
      </c>
      <c r="P35" s="97">
        <f t="shared" si="15"/>
        <v>7.59988846</v>
      </c>
      <c r="Q35" s="103">
        <f t="shared" si="16"/>
        <v>0.01693508478</v>
      </c>
      <c r="R35" s="97">
        <f t="shared" si="45"/>
        <v>270.3540147</v>
      </c>
      <c r="S35" s="97">
        <f t="shared" si="17"/>
        <v>14.27545578</v>
      </c>
      <c r="T35" s="103">
        <f t="shared" si="18"/>
        <v>0.03181047396</v>
      </c>
      <c r="U35" s="97">
        <f t="shared" si="46"/>
        <v>147.9517825</v>
      </c>
      <c r="V35" s="97">
        <f t="shared" si="19"/>
        <v>22.42560643</v>
      </c>
      <c r="W35" s="103">
        <f t="shared" si="20"/>
        <v>0.04997172633</v>
      </c>
      <c r="X35" s="98">
        <f t="shared" si="47"/>
        <v>87.18669377</v>
      </c>
      <c r="Y35" s="99">
        <f t="shared" si="21"/>
        <v>16.26546599</v>
      </c>
      <c r="Z35" s="103">
        <f t="shared" si="22"/>
        <v>0.03624488004</v>
      </c>
      <c r="AA35" s="97">
        <f t="shared" si="48"/>
        <v>124.8406369</v>
      </c>
      <c r="AB35" s="97">
        <f t="shared" si="23"/>
        <v>29.76477835</v>
      </c>
      <c r="AC35" s="103">
        <f t="shared" si="24"/>
        <v>0.06632584776</v>
      </c>
      <c r="AD35" s="97">
        <f t="shared" si="49"/>
        <v>69.70630915</v>
      </c>
      <c r="AE35" s="99">
        <f t="shared" si="25"/>
        <v>32.53310941</v>
      </c>
      <c r="AF35" s="103">
        <f t="shared" si="26"/>
        <v>0.07249461213</v>
      </c>
      <c r="AG35" s="97">
        <f t="shared" si="50"/>
        <v>59.35667056</v>
      </c>
      <c r="AH35" s="97">
        <f t="shared" si="27"/>
        <v>61.08061271</v>
      </c>
      <c r="AI35" s="103">
        <f t="shared" si="28"/>
        <v>0.1361079653</v>
      </c>
      <c r="AJ35" s="98">
        <f t="shared" si="51"/>
        <v>32.46040572</v>
      </c>
      <c r="AK35" s="97">
        <f t="shared" si="29"/>
        <v>32.93099977</v>
      </c>
      <c r="AL35" s="103">
        <f t="shared" si="30"/>
        <v>0.07338124448</v>
      </c>
      <c r="AM35" s="97">
        <f t="shared" si="52"/>
        <v>63.43546899</v>
      </c>
      <c r="AN35" s="97">
        <f t="shared" si="31"/>
        <v>49.12741353</v>
      </c>
      <c r="AO35" s="103">
        <f t="shared" si="32"/>
        <v>0.1094722531</v>
      </c>
      <c r="AP35" s="97">
        <f t="shared" si="53"/>
        <v>39.14667048</v>
      </c>
      <c r="AQ35" s="99">
        <f t="shared" si="33"/>
        <v>72.52345034</v>
      </c>
      <c r="AR35" s="103">
        <f t="shared" si="34"/>
        <v>0.1616064218</v>
      </c>
      <c r="AS35" s="97">
        <f t="shared" si="54"/>
        <v>27.51290965</v>
      </c>
      <c r="AT35" s="97">
        <f t="shared" si="35"/>
        <v>143.069406</v>
      </c>
      <c r="AU35" s="103">
        <f t="shared" si="36"/>
        <v>0.3188063264</v>
      </c>
      <c r="AV35" s="98">
        <f t="shared" si="55"/>
        <v>21.3185014</v>
      </c>
      <c r="AW35" s="97">
        <f t="shared" si="37"/>
        <v>194.4684628</v>
      </c>
      <c r="AX35" s="103">
        <f t="shared" si="38"/>
        <v>0.4333405579</v>
      </c>
      <c r="AY35" s="97">
        <f t="shared" si="56"/>
        <v>7.987442762</v>
      </c>
      <c r="AZ35" s="97">
        <f t="shared" si="39"/>
        <v>255.8323531</v>
      </c>
      <c r="BA35" s="103">
        <f t="shared" si="40"/>
        <v>0.5700797602</v>
      </c>
      <c r="BB35" s="97">
        <f t="shared" si="57"/>
        <v>6.337379501</v>
      </c>
      <c r="BC35" s="97">
        <f t="shared" si="41"/>
        <v>295.3954213</v>
      </c>
      <c r="BD35" s="103">
        <f t="shared" si="42"/>
        <v>0.6582394637</v>
      </c>
      <c r="BE35" s="97">
        <f t="shared" si="58"/>
        <v>6.170227557</v>
      </c>
    </row>
    <row r="36" ht="15.0" customHeight="1">
      <c r="A36" s="96">
        <f t="shared" si="2"/>
        <v>9.6</v>
      </c>
      <c r="B36" s="96">
        <f t="shared" si="3"/>
        <v>10.8</v>
      </c>
      <c r="C36" s="96">
        <f t="shared" si="4"/>
        <v>2.4</v>
      </c>
      <c r="D36" s="97">
        <f t="shared" si="5"/>
        <v>100</v>
      </c>
      <c r="E36" s="97">
        <f t="shared" si="6"/>
        <v>44</v>
      </c>
      <c r="F36" s="101">
        <f t="shared" si="7"/>
        <v>895.5833333</v>
      </c>
      <c r="G36" s="101">
        <f t="shared" si="8"/>
        <v>18389.33333</v>
      </c>
      <c r="H36" s="101">
        <f t="shared" si="9"/>
        <v>137552.2133</v>
      </c>
      <c r="I36" s="104">
        <f t="shared" si="10"/>
        <v>0.8487384615</v>
      </c>
      <c r="J36" s="97">
        <f t="shared" si="11"/>
        <v>1.631530518</v>
      </c>
      <c r="K36" s="103">
        <f t="shared" si="12"/>
        <v>0.003635593838</v>
      </c>
      <c r="L36" s="101">
        <f t="shared" si="43"/>
        <v>1322.894856</v>
      </c>
      <c r="M36" s="97">
        <f t="shared" si="13"/>
        <v>6.386770555</v>
      </c>
      <c r="N36" s="103">
        <f t="shared" si="14"/>
        <v>0.01423185372</v>
      </c>
      <c r="O36" s="97">
        <f t="shared" si="44"/>
        <v>348.4536366</v>
      </c>
      <c r="P36" s="97">
        <f t="shared" si="15"/>
        <v>7.486664737</v>
      </c>
      <c r="Q36" s="103">
        <f t="shared" si="16"/>
        <v>0.01668278459</v>
      </c>
      <c r="R36" s="97">
        <f t="shared" si="45"/>
        <v>285.2671159</v>
      </c>
      <c r="S36" s="97">
        <f t="shared" si="17"/>
        <v>14.16104364</v>
      </c>
      <c r="T36" s="103">
        <f t="shared" si="18"/>
        <v>0.03155552557</v>
      </c>
      <c r="U36" s="97">
        <f t="shared" si="46"/>
        <v>155.8360452</v>
      </c>
      <c r="V36" s="97">
        <f t="shared" si="19"/>
        <v>21.81397956</v>
      </c>
      <c r="W36" s="103">
        <f t="shared" si="20"/>
        <v>0.04860881778</v>
      </c>
      <c r="X36" s="98">
        <f t="shared" si="47"/>
        <v>92.30494323</v>
      </c>
      <c r="Y36" s="99">
        <f t="shared" si="21"/>
        <v>15.97530429</v>
      </c>
      <c r="Z36" s="103">
        <f t="shared" si="22"/>
        <v>0.03559830305</v>
      </c>
      <c r="AA36" s="97">
        <f t="shared" si="48"/>
        <v>131.829511</v>
      </c>
      <c r="AB36" s="97">
        <f t="shared" si="23"/>
        <v>29.39380217</v>
      </c>
      <c r="AC36" s="103">
        <f t="shared" si="24"/>
        <v>0.06549918916</v>
      </c>
      <c r="AD36" s="97">
        <f t="shared" si="49"/>
        <v>73.50470815</v>
      </c>
      <c r="AE36" s="99">
        <f t="shared" si="25"/>
        <v>31.54500436</v>
      </c>
      <c r="AF36" s="103">
        <f t="shared" si="26"/>
        <v>0.07029278471</v>
      </c>
      <c r="AG36" s="97">
        <f t="shared" si="50"/>
        <v>62.89603887</v>
      </c>
      <c r="AH36" s="97">
        <f t="shared" si="27"/>
        <v>59.62733013</v>
      </c>
      <c r="AI36" s="103">
        <f t="shared" si="28"/>
        <v>0.1328695673</v>
      </c>
      <c r="AJ36" s="98">
        <f t="shared" si="51"/>
        <v>34.33285898</v>
      </c>
      <c r="AK36" s="97">
        <f t="shared" si="29"/>
        <v>32.62645307</v>
      </c>
      <c r="AL36" s="103">
        <f t="shared" si="30"/>
        <v>0.07270261292</v>
      </c>
      <c r="AM36" s="97">
        <f t="shared" si="52"/>
        <v>66.94683131</v>
      </c>
      <c r="AN36" s="97">
        <f t="shared" si="31"/>
        <v>48.61841605</v>
      </c>
      <c r="AO36" s="103">
        <f t="shared" si="32"/>
        <v>0.1083380371</v>
      </c>
      <c r="AP36" s="97">
        <f t="shared" si="53"/>
        <v>41.33732553</v>
      </c>
      <c r="AQ36" s="99">
        <f t="shared" si="33"/>
        <v>71.44872523</v>
      </c>
      <c r="AR36" s="103">
        <f t="shared" si="34"/>
        <v>0.159211576</v>
      </c>
      <c r="AS36" s="97">
        <f t="shared" si="54"/>
        <v>28.99639914</v>
      </c>
      <c r="AT36" s="97">
        <f t="shared" si="35"/>
        <v>139.0166661</v>
      </c>
      <c r="AU36" s="103">
        <f t="shared" si="36"/>
        <v>0.3097754708</v>
      </c>
      <c r="AV36" s="98">
        <f t="shared" si="55"/>
        <v>22.59419672</v>
      </c>
      <c r="AW36" s="97">
        <f t="shared" si="37"/>
        <v>178.0304907</v>
      </c>
      <c r="AX36" s="103">
        <f t="shared" si="38"/>
        <v>0.3967112768</v>
      </c>
      <c r="AY36" s="97">
        <f t="shared" si="56"/>
        <v>8.614579094</v>
      </c>
      <c r="AZ36" s="97">
        <f t="shared" si="39"/>
        <v>241.5775988</v>
      </c>
      <c r="BA36" s="103">
        <f t="shared" si="40"/>
        <v>0.538315416</v>
      </c>
      <c r="BB36" s="97">
        <f t="shared" si="57"/>
        <v>6.799547307</v>
      </c>
      <c r="BC36" s="97">
        <f t="shared" si="41"/>
        <v>282.1734117</v>
      </c>
      <c r="BD36" s="103">
        <f t="shared" si="42"/>
        <v>0.6287764191</v>
      </c>
      <c r="BE36" s="97">
        <f t="shared" si="58"/>
        <v>6.56590406</v>
      </c>
    </row>
    <row r="37" ht="15.0" customHeight="1">
      <c r="A37" s="96">
        <f t="shared" si="2"/>
        <v>7.2</v>
      </c>
      <c r="B37" s="96">
        <f t="shared" si="3"/>
        <v>8.4</v>
      </c>
      <c r="C37" s="96">
        <f t="shared" si="4"/>
        <v>2.4</v>
      </c>
      <c r="D37" s="97">
        <f t="shared" si="5"/>
        <v>98.75</v>
      </c>
      <c r="E37" s="97">
        <f t="shared" si="6"/>
        <v>43</v>
      </c>
      <c r="F37" s="101">
        <f t="shared" si="7"/>
        <v>864.5833333</v>
      </c>
      <c r="G37" s="101">
        <f t="shared" si="8"/>
        <v>19253.91667</v>
      </c>
      <c r="H37" s="105">
        <f t="shared" si="9"/>
        <v>144019.2967</v>
      </c>
      <c r="I37" s="102">
        <f t="shared" si="10"/>
        <v>0.8886423077</v>
      </c>
      <c r="J37" s="97">
        <f t="shared" si="11"/>
        <v>1.605660093</v>
      </c>
      <c r="K37" s="103">
        <f t="shared" si="12"/>
        <v>0.003577945907</v>
      </c>
      <c r="L37" s="101">
        <f t="shared" si="43"/>
        <v>1390.022839</v>
      </c>
      <c r="M37" s="97">
        <f t="shared" si="13"/>
        <v>6.336887644</v>
      </c>
      <c r="N37" s="103">
        <f t="shared" si="14"/>
        <v>0.01412069797</v>
      </c>
      <c r="O37" s="97">
        <f t="shared" si="44"/>
        <v>365.4627313</v>
      </c>
      <c r="P37" s="97">
        <f t="shared" si="15"/>
        <v>7.34724258</v>
      </c>
      <c r="Q37" s="103">
        <f t="shared" si="16"/>
        <v>0.01637210555</v>
      </c>
      <c r="R37" s="97">
        <f t="shared" si="45"/>
        <v>299.9372075</v>
      </c>
      <c r="S37" s="97">
        <f t="shared" si="17"/>
        <v>14.01904946</v>
      </c>
      <c r="T37" s="103">
        <f t="shared" si="18"/>
        <v>0.0312391152</v>
      </c>
      <c r="U37" s="97">
        <f t="shared" si="46"/>
        <v>163.5244925</v>
      </c>
      <c r="V37" s="97">
        <f t="shared" si="19"/>
        <v>21.07146805</v>
      </c>
      <c r="W37" s="103">
        <f t="shared" si="20"/>
        <v>0.04695425463</v>
      </c>
      <c r="X37" s="98">
        <f t="shared" si="47"/>
        <v>97.4201408</v>
      </c>
      <c r="Y37" s="99">
        <f t="shared" si="21"/>
        <v>15.61920339</v>
      </c>
      <c r="Z37" s="103">
        <f t="shared" si="22"/>
        <v>0.03480479155</v>
      </c>
      <c r="AA37" s="97">
        <f t="shared" si="48"/>
        <v>138.7302933</v>
      </c>
      <c r="AB37" s="97">
        <f t="shared" si="23"/>
        <v>28.93571629</v>
      </c>
      <c r="AC37" s="103">
        <f t="shared" si="24"/>
        <v>0.06447842112</v>
      </c>
      <c r="AD37" s="97">
        <f t="shared" si="49"/>
        <v>77.22967978</v>
      </c>
      <c r="AE37" s="99">
        <f t="shared" si="25"/>
        <v>30.34974782</v>
      </c>
      <c r="AF37" s="103">
        <f t="shared" si="26"/>
        <v>0.06762935472</v>
      </c>
      <c r="AG37" s="97">
        <f t="shared" si="50"/>
        <v>66.44745956</v>
      </c>
      <c r="AH37" s="97">
        <f t="shared" si="27"/>
        <v>57.85594978</v>
      </c>
      <c r="AI37" s="103">
        <f t="shared" si="28"/>
        <v>0.1289223414</v>
      </c>
      <c r="AJ37" s="98">
        <f t="shared" si="51"/>
        <v>36.19584321</v>
      </c>
      <c r="AK37" s="97">
        <f t="shared" si="29"/>
        <v>32.24901645</v>
      </c>
      <c r="AL37" s="103">
        <f t="shared" si="30"/>
        <v>0.07186155832</v>
      </c>
      <c r="AM37" s="97">
        <f t="shared" si="52"/>
        <v>70.40401545</v>
      </c>
      <c r="AN37" s="97">
        <f t="shared" si="31"/>
        <v>47.98839311</v>
      </c>
      <c r="AO37" s="103">
        <f t="shared" si="32"/>
        <v>0.106934136</v>
      </c>
      <c r="AP37" s="97">
        <f t="shared" si="53"/>
        <v>43.5001509</v>
      </c>
      <c r="AQ37" s="99">
        <f t="shared" si="33"/>
        <v>70.12520375</v>
      </c>
      <c r="AR37" s="103">
        <f t="shared" si="34"/>
        <v>0.156262329</v>
      </c>
      <c r="AS37" s="97">
        <f t="shared" si="54"/>
        <v>30.44734072</v>
      </c>
      <c r="AT37" s="97">
        <f t="shared" si="35"/>
        <v>134.1026564</v>
      </c>
      <c r="AU37" s="103">
        <f t="shared" si="36"/>
        <v>0.2988254194</v>
      </c>
      <c r="AV37" s="98">
        <f t="shared" si="55"/>
        <v>23.87539468</v>
      </c>
      <c r="AW37" s="97">
        <f t="shared" si="37"/>
        <v>159.3895733</v>
      </c>
      <c r="AX37" s="103">
        <f t="shared" si="38"/>
        <v>0.3551730991</v>
      </c>
      <c r="AY37" s="97">
        <f t="shared" si="56"/>
        <v>9.290813555</v>
      </c>
      <c r="AZ37" s="97">
        <f t="shared" si="39"/>
        <v>224.8402634</v>
      </c>
      <c r="BA37" s="103">
        <f t="shared" si="40"/>
        <v>0.5010190535</v>
      </c>
      <c r="BB37" s="97">
        <f t="shared" si="57"/>
        <v>7.278930851</v>
      </c>
      <c r="BC37" s="97">
        <f t="shared" si="41"/>
        <v>266.4460715</v>
      </c>
      <c r="BD37" s="103">
        <f t="shared" si="42"/>
        <v>0.5937306626</v>
      </c>
      <c r="BE37" s="97">
        <f t="shared" si="58"/>
        <v>6.970431407</v>
      </c>
    </row>
    <row r="38" ht="15.0" customHeight="1">
      <c r="A38" s="71">
        <f t="shared" si="2"/>
        <v>4.8</v>
      </c>
      <c r="B38" s="71">
        <f t="shared" si="3"/>
        <v>6</v>
      </c>
      <c r="C38" s="71">
        <f t="shared" si="4"/>
        <v>2.4</v>
      </c>
      <c r="D38" s="106">
        <f t="shared" si="5"/>
        <v>97.5</v>
      </c>
      <c r="E38" s="106">
        <f t="shared" si="6"/>
        <v>42</v>
      </c>
      <c r="F38" s="107">
        <f t="shared" si="7"/>
        <v>834.0833333</v>
      </c>
      <c r="G38" s="107">
        <f t="shared" si="8"/>
        <v>20088</v>
      </c>
      <c r="H38" s="108">
        <f t="shared" si="9"/>
        <v>150258.24</v>
      </c>
      <c r="I38" s="109">
        <f t="shared" si="10"/>
        <v>0.9271384615</v>
      </c>
      <c r="J38" s="106">
        <f t="shared" si="11"/>
        <v>1.571664597</v>
      </c>
      <c r="K38" s="110">
        <f t="shared" si="12"/>
        <v>0.003502192611</v>
      </c>
      <c r="L38" s="111">
        <f t="shared" si="43"/>
        <v>1456.183513</v>
      </c>
      <c r="M38" s="106">
        <f t="shared" si="13"/>
        <v>6.270711382</v>
      </c>
      <c r="N38" s="110">
        <f t="shared" si="14"/>
        <v>0.0139732352</v>
      </c>
      <c r="O38" s="112">
        <f t="shared" si="44"/>
        <v>382.044963</v>
      </c>
      <c r="P38" s="106">
        <f t="shared" si="15"/>
        <v>7.164633871</v>
      </c>
      <c r="Q38" s="110">
        <f t="shared" si="16"/>
        <v>0.01596519248</v>
      </c>
      <c r="R38" s="112">
        <f t="shared" si="45"/>
        <v>314.4504947</v>
      </c>
      <c r="S38" s="106">
        <f t="shared" si="17"/>
        <v>13.83116727</v>
      </c>
      <c r="T38" s="110">
        <f t="shared" si="18"/>
        <v>0.03082045107</v>
      </c>
      <c r="U38" s="112">
        <f t="shared" si="46"/>
        <v>171.0424688</v>
      </c>
      <c r="V38" s="106">
        <f t="shared" si="19"/>
        <v>20.11677464</v>
      </c>
      <c r="W38" s="110">
        <f t="shared" si="20"/>
        <v>0.04482687948</v>
      </c>
      <c r="X38" s="113">
        <f t="shared" si="47"/>
        <v>102.5890802</v>
      </c>
      <c r="Y38" s="106">
        <f t="shared" si="21"/>
        <v>15.15483441</v>
      </c>
      <c r="Z38" s="110">
        <f t="shared" si="22"/>
        <v>0.03377002267</v>
      </c>
      <c r="AA38" s="112">
        <f t="shared" si="48"/>
        <v>145.5916278</v>
      </c>
      <c r="AB38" s="106">
        <f t="shared" si="23"/>
        <v>28.33356587</v>
      </c>
      <c r="AC38" s="110">
        <f t="shared" si="24"/>
        <v>0.06313662928</v>
      </c>
      <c r="AD38" s="112">
        <f t="shared" si="49"/>
        <v>80.89961633</v>
      </c>
      <c r="AE38" s="106">
        <f t="shared" si="25"/>
        <v>28.8200817</v>
      </c>
      <c r="AF38" s="110">
        <f t="shared" si="26"/>
        <v>0.06422074873</v>
      </c>
      <c r="AG38" s="112">
        <f t="shared" si="50"/>
        <v>70.05544339</v>
      </c>
      <c r="AH38" s="106">
        <f t="shared" si="27"/>
        <v>55.56645147</v>
      </c>
      <c r="AI38" s="110">
        <f t="shared" si="28"/>
        <v>0.123820576</v>
      </c>
      <c r="AJ38" s="113">
        <f t="shared" si="51"/>
        <v>38.0671592</v>
      </c>
      <c r="AK38" s="97">
        <f t="shared" si="29"/>
        <v>31.75051293</v>
      </c>
      <c r="AL38" s="110">
        <f t="shared" si="30"/>
        <v>0.07075072632</v>
      </c>
      <c r="AM38" s="112">
        <f t="shared" si="52"/>
        <v>73.82827694</v>
      </c>
      <c r="AN38" s="97">
        <f t="shared" si="31"/>
        <v>47.15765086</v>
      </c>
      <c r="AO38" s="110">
        <f t="shared" si="32"/>
        <v>0.1050829653</v>
      </c>
      <c r="AP38" s="114">
        <f t="shared" si="53"/>
        <v>45.65032325</v>
      </c>
      <c r="AQ38" s="99">
        <f t="shared" si="33"/>
        <v>68.39151279</v>
      </c>
      <c r="AR38" s="110">
        <f t="shared" si="34"/>
        <v>0.1523990877</v>
      </c>
      <c r="AS38" s="112">
        <f t="shared" si="54"/>
        <v>31.87175578</v>
      </c>
      <c r="AT38" s="97">
        <f t="shared" si="35"/>
        <v>127.7944067</v>
      </c>
      <c r="AU38" s="110">
        <f t="shared" si="36"/>
        <v>0.2847685363</v>
      </c>
      <c r="AV38" s="113">
        <f t="shared" si="55"/>
        <v>25.17857576</v>
      </c>
      <c r="AW38" s="106">
        <f t="shared" si="37"/>
        <v>137.4513341</v>
      </c>
      <c r="AX38" s="110">
        <f t="shared" si="38"/>
        <v>0.3062873895</v>
      </c>
      <c r="AY38" s="112">
        <f t="shared" si="56"/>
        <v>10.04731686</v>
      </c>
      <c r="AZ38" s="106">
        <f t="shared" si="39"/>
        <v>204.2327126</v>
      </c>
      <c r="BA38" s="110">
        <f t="shared" si="40"/>
        <v>0.4550985611</v>
      </c>
      <c r="BB38" s="112">
        <f t="shared" si="57"/>
        <v>7.788067647</v>
      </c>
      <c r="BC38" s="106">
        <f t="shared" si="41"/>
        <v>246.7532625</v>
      </c>
      <c r="BD38" s="110">
        <f t="shared" si="42"/>
        <v>0.54984852</v>
      </c>
      <c r="BE38" s="112">
        <f t="shared" si="58"/>
        <v>7.391833692</v>
      </c>
    </row>
    <row r="39" ht="15.0" customHeight="1">
      <c r="A39" s="115">
        <f t="shared" si="2"/>
        <v>2.4</v>
      </c>
      <c r="B39" s="115">
        <f t="shared" si="3"/>
        <v>3.6</v>
      </c>
      <c r="C39" s="115">
        <f t="shared" si="4"/>
        <v>2.4</v>
      </c>
      <c r="D39" s="116">
        <f t="shared" si="5"/>
        <v>96.25</v>
      </c>
      <c r="E39" s="116">
        <f t="shared" si="6"/>
        <v>41</v>
      </c>
      <c r="F39" s="117">
        <f t="shared" si="7"/>
        <v>804.0833333</v>
      </c>
      <c r="G39" s="117">
        <f t="shared" si="8"/>
        <v>20892.08333</v>
      </c>
      <c r="H39" s="118">
        <f t="shared" si="9"/>
        <v>156272.7833</v>
      </c>
      <c r="I39" s="119">
        <f t="shared" si="10"/>
        <v>0.96425</v>
      </c>
      <c r="J39" s="97">
        <f t="shared" si="11"/>
        <v>1.521424095</v>
      </c>
      <c r="K39" s="103">
        <f t="shared" si="12"/>
        <v>0.003390240026</v>
      </c>
      <c r="L39" s="101">
        <f t="shared" si="43"/>
        <v>1522.070723</v>
      </c>
      <c r="M39" s="97">
        <f t="shared" si="13"/>
        <v>6.171562497</v>
      </c>
      <c r="N39" s="120">
        <f t="shared" si="14"/>
        <v>0.01375229843</v>
      </c>
      <c r="O39" s="97">
        <f t="shared" si="44"/>
        <v>398.2875902</v>
      </c>
      <c r="P39" s="97">
        <f t="shared" si="15"/>
        <v>6.896039102</v>
      </c>
      <c r="Q39" s="103">
        <f t="shared" si="16"/>
        <v>0.0153666738</v>
      </c>
      <c r="R39" s="97">
        <f t="shared" si="45"/>
        <v>328.9867216</v>
      </c>
      <c r="S39" s="97">
        <f t="shared" si="17"/>
        <v>13.55073021</v>
      </c>
      <c r="T39" s="103">
        <f t="shared" si="18"/>
        <v>0.03019554382</v>
      </c>
      <c r="U39" s="97">
        <f t="shared" si="46"/>
        <v>178.4400325</v>
      </c>
      <c r="V39" s="97">
        <f t="shared" si="19"/>
        <v>18.74940943</v>
      </c>
      <c r="W39" s="103">
        <f t="shared" si="20"/>
        <v>0.04177993402</v>
      </c>
      <c r="X39" s="98">
        <f t="shared" si="47"/>
        <v>107.9355093</v>
      </c>
      <c r="Y39" s="99">
        <f t="shared" si="21"/>
        <v>14.47609293</v>
      </c>
      <c r="Z39" s="103">
        <f t="shared" si="22"/>
        <v>0.03225756042</v>
      </c>
      <c r="AA39" s="97">
        <f t="shared" si="48"/>
        <v>152.5163132</v>
      </c>
      <c r="AB39" s="97">
        <f t="shared" si="23"/>
        <v>27.44325926</v>
      </c>
      <c r="AC39" s="103">
        <f t="shared" si="24"/>
        <v>0.06115272938</v>
      </c>
      <c r="AD39" s="97">
        <f t="shared" si="49"/>
        <v>84.55233075</v>
      </c>
      <c r="AE39" s="99">
        <f t="shared" si="25"/>
        <v>26.64385459</v>
      </c>
      <c r="AF39" s="103">
        <f t="shared" si="26"/>
        <v>0.05937138932</v>
      </c>
      <c r="AG39" s="97">
        <f t="shared" si="50"/>
        <v>73.81775145</v>
      </c>
      <c r="AH39" s="97">
        <f t="shared" si="27"/>
        <v>52.26257614</v>
      </c>
      <c r="AI39" s="103">
        <f t="shared" si="28"/>
        <v>0.1164584405</v>
      </c>
      <c r="AJ39" s="98">
        <f t="shared" si="51"/>
        <v>39.98521216</v>
      </c>
      <c r="AK39" s="97">
        <f t="shared" si="29"/>
        <v>31.00838507</v>
      </c>
      <c r="AL39" s="103">
        <f t="shared" si="30"/>
        <v>0.06909701807</v>
      </c>
      <c r="AM39" s="97">
        <f t="shared" si="52"/>
        <v>77.26408817</v>
      </c>
      <c r="AN39" s="97">
        <f t="shared" si="31"/>
        <v>45.92384185</v>
      </c>
      <c r="AO39" s="103">
        <f t="shared" si="32"/>
        <v>0.1023336276</v>
      </c>
      <c r="AP39" s="97">
        <f t="shared" si="53"/>
        <v>47.81990483</v>
      </c>
      <c r="AQ39" s="99">
        <f t="shared" si="33"/>
        <v>65.84103713</v>
      </c>
      <c r="AR39" s="103">
        <f t="shared" si="34"/>
        <v>0.1467157777</v>
      </c>
      <c r="AS39" s="97">
        <f t="shared" si="54"/>
        <v>33.2818305</v>
      </c>
      <c r="AT39" s="97">
        <f t="shared" si="35"/>
        <v>118.779941</v>
      </c>
      <c r="AU39" s="103">
        <f t="shared" si="36"/>
        <v>0.2646813019</v>
      </c>
      <c r="AV39" s="98">
        <f t="shared" si="55"/>
        <v>26.5399991</v>
      </c>
      <c r="AW39" s="116">
        <f t="shared" si="37"/>
        <v>109.7774971</v>
      </c>
      <c r="AX39" s="120">
        <f t="shared" si="38"/>
        <v>0.244620856</v>
      </c>
      <c r="AY39" s="116">
        <f t="shared" si="56"/>
        <v>10.96045837</v>
      </c>
      <c r="AZ39" s="116">
        <f t="shared" si="39"/>
        <v>176.499353</v>
      </c>
      <c r="BA39" s="120">
        <f t="shared" si="40"/>
        <v>0.3932993917</v>
      </c>
      <c r="BB39" s="116">
        <f t="shared" si="57"/>
        <v>8.356015275</v>
      </c>
      <c r="BC39" s="116">
        <f t="shared" si="41"/>
        <v>219.602368</v>
      </c>
      <c r="BD39" s="120">
        <f t="shared" si="42"/>
        <v>0.4893472767</v>
      </c>
      <c r="BE39" s="116">
        <f t="shared" si="58"/>
        <v>7.848305951</v>
      </c>
    </row>
    <row r="40" ht="15.0" customHeight="1">
      <c r="A40" s="97">
        <f t="shared" si="2"/>
        <v>0</v>
      </c>
      <c r="B40" s="96">
        <f t="shared" si="3"/>
        <v>1.2</v>
      </c>
      <c r="C40" s="96">
        <f t="shared" si="4"/>
        <v>2.4</v>
      </c>
      <c r="D40" s="97">
        <f t="shared" si="5"/>
        <v>95</v>
      </c>
      <c r="E40" s="97">
        <f t="shared" si="6"/>
        <v>40</v>
      </c>
      <c r="F40" s="101">
        <f t="shared" si="7"/>
        <v>774.5833333</v>
      </c>
      <c r="G40" s="101">
        <f t="shared" si="8"/>
        <v>21666.66667</v>
      </c>
      <c r="H40" s="101">
        <f t="shared" si="9"/>
        <v>162066.6667</v>
      </c>
      <c r="I40" s="119">
        <f t="shared" si="10"/>
        <v>1</v>
      </c>
      <c r="J40" s="97">
        <f t="shared" si="11"/>
        <v>1.418748379</v>
      </c>
      <c r="K40" s="103">
        <f t="shared" si="12"/>
        <v>0.003161444304</v>
      </c>
      <c r="L40" s="101">
        <f t="shared" si="43"/>
        <v>1590.134041</v>
      </c>
      <c r="M40" s="97">
        <f t="shared" si="13"/>
        <v>5.96360607</v>
      </c>
      <c r="N40" s="103">
        <f t="shared" si="14"/>
        <v>0.01328890219</v>
      </c>
      <c r="O40" s="97">
        <f t="shared" si="44"/>
        <v>414.4799277</v>
      </c>
      <c r="P40" s="97">
        <f t="shared" si="15"/>
        <v>6.352008134</v>
      </c>
      <c r="Q40" s="103">
        <f t="shared" si="16"/>
        <v>0.01415439146</v>
      </c>
      <c r="R40" s="97">
        <f t="shared" si="45"/>
        <v>344.1889569</v>
      </c>
      <c r="S40" s="97">
        <f t="shared" si="17"/>
        <v>12.96672011</v>
      </c>
      <c r="T40" s="103">
        <f t="shared" si="18"/>
        <v>0.02889417463</v>
      </c>
      <c r="U40" s="97">
        <f t="shared" si="46"/>
        <v>185.8871526</v>
      </c>
      <c r="V40" s="97">
        <f t="shared" si="19"/>
        <v>16.11537011</v>
      </c>
      <c r="W40" s="103">
        <f t="shared" si="20"/>
        <v>0.03591041639</v>
      </c>
      <c r="X40" s="98">
        <f t="shared" si="47"/>
        <v>113.9275977</v>
      </c>
      <c r="Y40" s="99">
        <f t="shared" si="21"/>
        <v>13.11757591</v>
      </c>
      <c r="Z40" s="103">
        <f t="shared" si="22"/>
        <v>0.02923033164</v>
      </c>
      <c r="AA40" s="97">
        <f t="shared" si="48"/>
        <v>159.8777893</v>
      </c>
      <c r="AB40" s="97">
        <f t="shared" si="23"/>
        <v>25.6221524</v>
      </c>
      <c r="AC40" s="103">
        <f t="shared" si="24"/>
        <v>0.05709469626</v>
      </c>
      <c r="AD40" s="97">
        <f t="shared" si="49"/>
        <v>88.32112896</v>
      </c>
      <c r="AE40" s="99">
        <f t="shared" si="25"/>
        <v>22.50419685</v>
      </c>
      <c r="AF40" s="103">
        <f t="shared" si="26"/>
        <v>0.05014685198</v>
      </c>
      <c r="AG40" s="97">
        <f t="shared" si="50"/>
        <v>78.10871651</v>
      </c>
      <c r="AH40" s="97">
        <f t="shared" si="27"/>
        <v>45.80746545</v>
      </c>
      <c r="AI40" s="103">
        <f t="shared" si="28"/>
        <v>0.1020743022</v>
      </c>
      <c r="AJ40" s="98">
        <f t="shared" si="51"/>
        <v>42.09326859</v>
      </c>
      <c r="AK40" s="97">
        <f t="shared" si="29"/>
        <v>29.47056313</v>
      </c>
      <c r="AL40" s="103">
        <f t="shared" si="30"/>
        <v>0.06567023818</v>
      </c>
      <c r="AM40" s="97">
        <f t="shared" si="52"/>
        <v>80.87116155</v>
      </c>
      <c r="AN40" s="97">
        <f t="shared" si="31"/>
        <v>43.37860879</v>
      </c>
      <c r="AO40" s="103">
        <f t="shared" si="32"/>
        <v>0.09666199993</v>
      </c>
      <c r="AP40" s="97">
        <f t="shared" si="53"/>
        <v>50.12532452</v>
      </c>
      <c r="AQ40" s="99">
        <f t="shared" si="33"/>
        <v>60.67347117</v>
      </c>
      <c r="AR40" s="103">
        <f t="shared" si="34"/>
        <v>0.1352007182</v>
      </c>
      <c r="AS40" s="97">
        <f t="shared" si="54"/>
        <v>34.71987327</v>
      </c>
      <c r="AT40" s="97">
        <f t="shared" si="35"/>
        <v>101.4890861</v>
      </c>
      <c r="AU40" s="103">
        <f t="shared" si="36"/>
        <v>0.2261515134</v>
      </c>
      <c r="AV40" s="98">
        <f t="shared" si="55"/>
        <v>28.09887467</v>
      </c>
      <c r="AW40" s="97">
        <f t="shared" si="37"/>
        <v>67.69120738</v>
      </c>
      <c r="AX40" s="103">
        <f t="shared" si="38"/>
        <v>0.1508385738</v>
      </c>
      <c r="AY40" s="97">
        <f t="shared" si="56"/>
        <v>12.38700586</v>
      </c>
      <c r="AZ40" s="97">
        <f t="shared" si="39"/>
        <v>128.9524433</v>
      </c>
      <c r="BA40" s="103">
        <f t="shared" si="40"/>
        <v>0.2873490279</v>
      </c>
      <c r="BB40" s="97">
        <f t="shared" si="57"/>
        <v>9.104855078</v>
      </c>
      <c r="BC40" s="97">
        <f t="shared" si="41"/>
        <v>170.9062514</v>
      </c>
      <c r="BD40" s="103">
        <f t="shared" si="42"/>
        <v>0.3808360968</v>
      </c>
      <c r="BE40" s="97">
        <f t="shared" si="58"/>
        <v>8.413321692</v>
      </c>
    </row>
    <row r="41" ht="30.0" customHeight="1">
      <c r="A41" s="121" t="s">
        <v>107</v>
      </c>
      <c r="B41" s="122"/>
      <c r="C41" s="123"/>
      <c r="D41" s="124" t="s">
        <v>108</v>
      </c>
      <c r="E41" s="33"/>
      <c r="F41" s="33"/>
      <c r="G41" s="33"/>
      <c r="H41" s="33"/>
      <c r="I41" s="34"/>
      <c r="J41" s="125" t="str">
        <f>IF(AND(L38&gt;=$D$13,L38&lt;=$D$12),J14,"no")</f>
        <v>no</v>
      </c>
      <c r="K41" s="33"/>
      <c r="L41" s="34"/>
      <c r="M41" s="125" t="str">
        <f>IF(AND(O38&gt;=$D$13,O38&lt;=$D$12),M14,"no")</f>
        <v>no</v>
      </c>
      <c r="N41" s="33"/>
      <c r="O41" s="34"/>
      <c r="P41" s="125" t="str">
        <f>IF(AND(R38&gt;=$D$13,R38&lt;=$D$12),P14,"no")</f>
        <v>no</v>
      </c>
      <c r="Q41" s="33"/>
      <c r="R41" s="34"/>
      <c r="S41" s="125" t="str">
        <f>IF(AND(U38&gt;=$D$13,U38&lt;=$D$12),S14,"no")</f>
        <v>no</v>
      </c>
      <c r="T41" s="33"/>
      <c r="U41" s="34"/>
      <c r="V41" s="125" t="str">
        <f>IF(AND(X38&gt;=$D$13,X38&lt;=$D$12),V14,"no")</f>
        <v>MF 2" - 2"</v>
      </c>
      <c r="W41" s="33"/>
      <c r="X41" s="126"/>
      <c r="Y41" s="127" t="str">
        <f>IF(AND(AA38&gt;=$D$13,AA38&lt;=$D$12),Y14,"no")</f>
        <v>no</v>
      </c>
      <c r="Z41" s="33"/>
      <c r="AA41" s="34"/>
      <c r="AB41" s="125" t="str">
        <f>IF(AND(AD38&gt;=$D$13,AD38&lt;=$D$12),AB14,"no")</f>
        <v>MF 3" - 2.0" Orifice</v>
      </c>
      <c r="AC41" s="33"/>
      <c r="AD41" s="34"/>
      <c r="AE41" s="127" t="str">
        <f>IF(AND(AG38&gt;=$D$13,AG38&lt;=$D$12),AE14,"no")</f>
        <v>MF 3"  - 2.5" Orifice</v>
      </c>
      <c r="AF41" s="33"/>
      <c r="AG41" s="34"/>
      <c r="AH41" s="125" t="str">
        <f>IF(AND(AJ38&gt;=$D$13,AJ38&lt;=$D$12),AH14,"no")</f>
        <v>no</v>
      </c>
      <c r="AI41" s="33"/>
      <c r="AJ41" s="126"/>
      <c r="AK41" s="125" t="str">
        <f>IF(AND(AM38&gt;=$D$13,AM38&lt;=$D$12),AK14,"no")</f>
        <v>MF 4" - 2.0" Orifice</v>
      </c>
      <c r="AL41" s="33"/>
      <c r="AM41" s="34"/>
      <c r="AN41" s="125" t="str">
        <f>IF(AND(AP38&gt;=$D$13,AP38&lt;=$D$12),AN14,"no")</f>
        <v>no</v>
      </c>
      <c r="AO41" s="33"/>
      <c r="AP41" s="34"/>
      <c r="AQ41" s="127" t="str">
        <f>IF(AND(AS38&gt;=$D$13,AS38&lt;=$D$12),AQ14,"no")</f>
        <v>no</v>
      </c>
      <c r="AR41" s="33"/>
      <c r="AS41" s="34"/>
      <c r="AT41" s="125" t="str">
        <f>IF(AND(AV38&gt;=$D$13,AV38&lt;=$D$12),AT14,"no")</f>
        <v>no</v>
      </c>
      <c r="AU41" s="33"/>
      <c r="AV41" s="126"/>
      <c r="AW41" s="125" t="str">
        <f>IF(AND(AY38&gt;=$D$13,AY38&lt;=$D$12),AW14,"no")</f>
        <v>no</v>
      </c>
      <c r="AX41" s="33"/>
      <c r="AY41" s="34"/>
      <c r="AZ41" s="125" t="str">
        <f>IF(AND(BB38&gt;=$D$13,BB38&lt;=$D$12),AZ14,"no")</f>
        <v>no</v>
      </c>
      <c r="BA41" s="33"/>
      <c r="BB41" s="34"/>
      <c r="BC41" s="125" t="str">
        <f>IF(AND(BE38&gt;=$D$13,BE38&lt;=$D$12),BC14,"no")</f>
        <v>no</v>
      </c>
      <c r="BD41" s="33"/>
      <c r="BE41" s="34"/>
    </row>
    <row r="42" ht="15.0" customHeight="1">
      <c r="A42" s="128"/>
      <c r="B42" s="128"/>
      <c r="C42" s="128"/>
      <c r="D42" s="129"/>
      <c r="E42" s="129"/>
      <c r="F42" s="129"/>
      <c r="G42" s="129"/>
      <c r="H42" s="129"/>
      <c r="I42" s="130"/>
      <c r="J42" s="130"/>
      <c r="K42" s="130"/>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2"/>
    </row>
    <row r="43" ht="15.0" customHeight="1">
      <c r="A43" s="128"/>
      <c r="B43" s="128"/>
      <c r="C43" s="128"/>
      <c r="D43" s="129"/>
      <c r="E43" s="129"/>
      <c r="F43" s="129"/>
      <c r="G43" s="129"/>
      <c r="H43" s="129"/>
      <c r="I43" s="130"/>
      <c r="J43" s="130"/>
      <c r="K43" s="130"/>
      <c r="L43" s="133" t="s">
        <v>109</v>
      </c>
      <c r="M43" s="133"/>
      <c r="N43" s="133"/>
      <c r="O43" s="133"/>
      <c r="P43" s="133"/>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row>
    <row r="44" ht="15.0" customHeight="1">
      <c r="A44" s="15"/>
      <c r="B44" s="15"/>
      <c r="C44" s="15"/>
      <c r="D44" s="134"/>
      <c r="E44" s="134"/>
      <c r="F44" s="134"/>
      <c r="G44" s="134"/>
      <c r="H44" s="134"/>
      <c r="I44" s="130"/>
      <c r="J44" s="130"/>
      <c r="K44" s="130"/>
      <c r="L44" s="133" t="s">
        <v>110</v>
      </c>
      <c r="M44" s="133"/>
      <c r="N44" s="133"/>
      <c r="O44" s="133"/>
      <c r="P44" s="133"/>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8"/>
      <c r="AO44" s="128"/>
      <c r="AP44" s="128"/>
    </row>
    <row r="45" ht="15.0" customHeight="1">
      <c r="A45" s="128"/>
      <c r="B45" s="128"/>
      <c r="C45" s="128"/>
      <c r="D45" s="129"/>
      <c r="E45" s="129"/>
      <c r="F45" s="129"/>
      <c r="G45" s="129"/>
      <c r="H45" s="129"/>
      <c r="I45" s="130"/>
      <c r="J45" s="130"/>
      <c r="K45" s="130"/>
      <c r="L45" s="133" t="s">
        <v>111</v>
      </c>
      <c r="M45" s="133"/>
      <c r="N45" s="133"/>
      <c r="O45" s="133"/>
      <c r="P45" s="133"/>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8"/>
      <c r="AO45" s="128"/>
      <c r="AP45" s="128"/>
    </row>
    <row r="46" ht="15.0" customHeight="1">
      <c r="A46" s="128"/>
      <c r="B46" s="128"/>
      <c r="C46" s="128"/>
      <c r="D46" s="129"/>
      <c r="E46" s="129"/>
      <c r="F46" s="129"/>
      <c r="G46" s="129"/>
      <c r="H46" s="129"/>
      <c r="I46" s="130"/>
      <c r="J46" s="130"/>
      <c r="K46" s="130"/>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8"/>
      <c r="AO46" s="128"/>
      <c r="AP46" s="128"/>
    </row>
    <row r="47" ht="15.0" customHeight="1">
      <c r="A47" s="128"/>
      <c r="B47" s="128"/>
      <c r="C47" s="128"/>
      <c r="D47" s="129"/>
      <c r="E47" s="129"/>
      <c r="F47" s="129"/>
      <c r="G47" s="129"/>
      <c r="H47" s="129"/>
      <c r="I47" s="130"/>
      <c r="J47" s="130"/>
      <c r="K47" s="130"/>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8"/>
      <c r="AO47" s="128"/>
      <c r="AP47" s="128"/>
    </row>
    <row r="48" ht="15.0" customHeight="1">
      <c r="A48" s="128"/>
      <c r="B48" s="128"/>
      <c r="C48" s="128"/>
      <c r="D48" s="129"/>
      <c r="E48" s="129"/>
      <c r="F48" s="129"/>
      <c r="G48" s="129"/>
      <c r="H48" s="129"/>
      <c r="I48" s="130"/>
      <c r="J48" s="130"/>
      <c r="K48" s="130"/>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8"/>
      <c r="AO48" s="128"/>
      <c r="AP48" s="128"/>
    </row>
    <row r="49" ht="15.0" customHeight="1">
      <c r="A49" s="128"/>
      <c r="B49" s="128"/>
      <c r="C49" s="128"/>
      <c r="D49" s="129"/>
      <c r="E49" s="129"/>
      <c r="F49" s="129"/>
      <c r="G49" s="129"/>
      <c r="H49" s="129"/>
      <c r="I49" s="130"/>
      <c r="J49" s="130"/>
      <c r="K49" s="130"/>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8"/>
      <c r="AO49" s="128"/>
      <c r="AP49" s="128"/>
    </row>
    <row r="50" ht="15.0" customHeight="1">
      <c r="A50" s="128"/>
      <c r="B50" s="128"/>
      <c r="C50" s="128"/>
      <c r="D50" s="129"/>
      <c r="E50" s="129"/>
      <c r="F50" s="129"/>
      <c r="G50" s="129"/>
      <c r="H50" s="129"/>
      <c r="I50" s="130"/>
      <c r="J50" s="130"/>
      <c r="K50" s="130"/>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8"/>
      <c r="AO50" s="128"/>
      <c r="AP50" s="128"/>
    </row>
    <row r="51" ht="15.0" customHeight="1">
      <c r="A51" s="128"/>
      <c r="B51" s="128"/>
      <c r="C51" s="128"/>
      <c r="D51" s="129"/>
      <c r="E51" s="129"/>
      <c r="F51" s="129"/>
      <c r="G51" s="129"/>
      <c r="H51" s="129"/>
      <c r="I51" s="130"/>
      <c r="J51" s="130"/>
      <c r="K51" s="130"/>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8"/>
      <c r="AO51" s="128"/>
      <c r="AP51" s="128"/>
    </row>
    <row r="52" ht="15.0" customHeight="1">
      <c r="A52" s="128"/>
      <c r="B52" s="128"/>
      <c r="C52" s="128"/>
      <c r="D52" s="129"/>
      <c r="E52" s="129"/>
      <c r="F52" s="129"/>
      <c r="G52" s="129"/>
      <c r="H52" s="129"/>
      <c r="I52" s="130"/>
      <c r="J52" s="130"/>
      <c r="K52" s="130"/>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8"/>
      <c r="AO52" s="128"/>
      <c r="AP52" s="128"/>
    </row>
    <row r="53" ht="15.0" customHeight="1">
      <c r="A53" s="128"/>
      <c r="B53" s="128"/>
      <c r="C53" s="128"/>
      <c r="D53" s="129"/>
      <c r="E53" s="129"/>
      <c r="F53" s="129"/>
      <c r="G53" s="129"/>
      <c r="H53" s="129"/>
      <c r="I53" s="130"/>
      <c r="J53" s="130"/>
      <c r="K53" s="130"/>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8"/>
      <c r="AO53" s="128"/>
      <c r="AP53" s="128"/>
    </row>
    <row r="54" ht="15.0" customHeight="1">
      <c r="A54" s="128"/>
      <c r="B54" s="128"/>
      <c r="C54" s="128"/>
      <c r="D54" s="129"/>
      <c r="E54" s="129"/>
      <c r="F54" s="129"/>
      <c r="G54" s="129"/>
      <c r="H54" s="129"/>
      <c r="I54" s="130"/>
      <c r="J54" s="130"/>
      <c r="K54" s="130"/>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8"/>
      <c r="AO54" s="128"/>
      <c r="AP54" s="128"/>
    </row>
    <row r="55" ht="15.0" customHeight="1">
      <c r="A55" s="128"/>
      <c r="B55" s="128"/>
      <c r="C55" s="128"/>
      <c r="D55" s="129"/>
      <c r="E55" s="129"/>
      <c r="F55" s="129"/>
      <c r="G55" s="129"/>
      <c r="H55" s="129"/>
      <c r="I55" s="130"/>
      <c r="J55" s="130"/>
      <c r="K55" s="130"/>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8"/>
      <c r="AO55" s="128"/>
      <c r="AP55" s="128"/>
    </row>
    <row r="56" ht="15.0" customHeight="1">
      <c r="A56" s="128"/>
      <c r="B56" s="128"/>
      <c r="C56" s="128"/>
      <c r="D56" s="129"/>
      <c r="E56" s="129"/>
      <c r="F56" s="129"/>
      <c r="G56" s="129"/>
      <c r="H56" s="129"/>
      <c r="I56" s="130"/>
      <c r="J56" s="130"/>
      <c r="K56" s="130"/>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8"/>
      <c r="AO56" s="128"/>
      <c r="AP56" s="128"/>
    </row>
    <row r="57" ht="15.0" customHeight="1">
      <c r="A57" s="128"/>
      <c r="B57" s="128"/>
      <c r="C57" s="128"/>
      <c r="D57" s="129"/>
      <c r="E57" s="129"/>
      <c r="F57" s="129"/>
      <c r="G57" s="129"/>
      <c r="H57" s="129"/>
      <c r="I57" s="130"/>
      <c r="J57" s="130"/>
      <c r="K57" s="130"/>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8"/>
      <c r="AO57" s="128"/>
      <c r="AP57" s="128"/>
    </row>
    <row r="58" ht="15.0" customHeight="1">
      <c r="A58" s="128"/>
      <c r="B58" s="128"/>
      <c r="C58" s="128"/>
      <c r="D58" s="129"/>
      <c r="E58" s="129"/>
      <c r="F58" s="129"/>
      <c r="G58" s="129"/>
      <c r="H58" s="129"/>
      <c r="I58" s="130"/>
      <c r="J58" s="130"/>
      <c r="K58" s="130"/>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ht="15.0" customHeight="1">
      <c r="A59" s="128"/>
      <c r="B59" s="128"/>
      <c r="C59" s="128"/>
      <c r="D59" s="129"/>
      <c r="E59" s="129"/>
      <c r="F59" s="129"/>
      <c r="G59" s="129"/>
      <c r="H59" s="129"/>
      <c r="I59" s="130"/>
      <c r="J59" s="130"/>
      <c r="K59" s="130"/>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row r="60" ht="15.0" customHeight="1">
      <c r="A60" s="128"/>
      <c r="B60" s="128"/>
      <c r="C60" s="128"/>
      <c r="D60" s="129"/>
      <c r="E60" s="129"/>
      <c r="F60" s="129"/>
      <c r="G60" s="129"/>
      <c r="H60" s="129"/>
      <c r="I60" s="130"/>
      <c r="J60" s="130"/>
      <c r="K60" s="130"/>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row>
    <row r="61" ht="15.0" customHeight="1">
      <c r="A61" s="128"/>
      <c r="B61" s="128"/>
      <c r="C61" s="128"/>
      <c r="D61" s="129"/>
      <c r="E61" s="129"/>
      <c r="F61" s="129"/>
      <c r="G61" s="129"/>
      <c r="H61" s="129"/>
      <c r="I61" s="130"/>
      <c r="J61" s="130"/>
      <c r="K61" s="130"/>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row>
    <row r="62" ht="15.0" customHeight="1">
      <c r="A62" s="128"/>
      <c r="B62" s="128"/>
      <c r="C62" s="128"/>
      <c r="D62" s="129"/>
      <c r="E62" s="129"/>
      <c r="F62" s="129"/>
      <c r="G62" s="129"/>
      <c r="H62" s="129"/>
      <c r="I62" s="130"/>
      <c r="J62" s="130"/>
      <c r="K62" s="130"/>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row>
    <row r="63" ht="15.0" customHeight="1">
      <c r="A63" s="128"/>
      <c r="B63" s="128"/>
      <c r="C63" s="128"/>
      <c r="D63" s="129"/>
      <c r="E63" s="129"/>
      <c r="F63" s="129"/>
      <c r="G63" s="129"/>
      <c r="H63" s="129"/>
      <c r="I63" s="130"/>
      <c r="J63" s="130"/>
      <c r="K63" s="130"/>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row>
    <row r="64" ht="15.0" customHeight="1">
      <c r="A64" s="128"/>
      <c r="B64" s="128"/>
      <c r="C64" s="128"/>
      <c r="D64" s="129"/>
      <c r="E64" s="129"/>
      <c r="F64" s="129"/>
      <c r="G64" s="129"/>
      <c r="H64" s="129"/>
      <c r="I64" s="130"/>
      <c r="J64" s="130"/>
      <c r="K64" s="130"/>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row>
    <row r="65" ht="15.0" customHeight="1">
      <c r="A65" s="128"/>
      <c r="B65" s="128"/>
      <c r="C65" s="128"/>
      <c r="D65" s="129"/>
      <c r="E65" s="129"/>
      <c r="F65" s="129"/>
      <c r="G65" s="129"/>
      <c r="H65" s="129"/>
      <c r="I65" s="130"/>
      <c r="J65" s="130"/>
      <c r="K65" s="130"/>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row>
    <row r="66" ht="15.0" customHeight="1">
      <c r="A66" s="128"/>
      <c r="B66" s="128"/>
      <c r="C66" s="128"/>
      <c r="D66" s="129"/>
      <c r="E66" s="129"/>
      <c r="F66" s="129"/>
      <c r="G66" s="129"/>
      <c r="H66" s="129"/>
      <c r="I66" s="130"/>
      <c r="J66" s="130"/>
      <c r="K66" s="130"/>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row>
    <row r="67" ht="15.0" customHeight="1">
      <c r="A67" s="128"/>
      <c r="B67" s="128"/>
      <c r="C67" s="128"/>
      <c r="D67" s="129"/>
      <c r="E67" s="129"/>
      <c r="F67" s="129"/>
      <c r="G67" s="129"/>
      <c r="H67" s="129"/>
      <c r="I67" s="130"/>
      <c r="J67" s="130"/>
      <c r="K67" s="130"/>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row>
    <row r="68" ht="15.0" customHeight="1">
      <c r="A68" s="128"/>
      <c r="B68" s="128"/>
      <c r="C68" s="128"/>
      <c r="D68" s="129"/>
      <c r="E68" s="129"/>
      <c r="F68" s="129"/>
      <c r="G68" s="129"/>
      <c r="H68" s="129"/>
      <c r="I68" s="130"/>
      <c r="J68" s="130"/>
      <c r="K68" s="130"/>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row>
    <row r="69" ht="15.0" customHeight="1">
      <c r="A69" s="128"/>
      <c r="B69" s="128"/>
      <c r="C69" s="128"/>
      <c r="D69" s="129"/>
      <c r="E69" s="129"/>
      <c r="F69" s="129"/>
      <c r="G69" s="129"/>
      <c r="H69" s="129"/>
      <c r="I69" s="130"/>
      <c r="J69" s="130"/>
      <c r="K69" s="130"/>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row>
    <row r="70" ht="15.0" customHeight="1">
      <c r="A70" s="128"/>
      <c r="B70" s="128"/>
      <c r="C70" s="128"/>
      <c r="D70" s="129"/>
      <c r="E70" s="129"/>
      <c r="F70" s="129"/>
      <c r="G70" s="129"/>
      <c r="H70" s="129"/>
      <c r="I70" s="130"/>
      <c r="J70" s="130"/>
      <c r="K70" s="130"/>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row>
    <row r="71" ht="15.0" customHeight="1">
      <c r="A71" s="128"/>
      <c r="B71" s="128"/>
      <c r="C71" s="128"/>
      <c r="D71" s="129"/>
      <c r="E71" s="129"/>
      <c r="F71" s="129"/>
      <c r="G71" s="129"/>
      <c r="H71" s="129"/>
      <c r="I71" s="130"/>
      <c r="J71" s="130"/>
      <c r="K71" s="130"/>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row>
    <row r="72" ht="15.0" customHeight="1">
      <c r="A72" s="128"/>
      <c r="B72" s="128"/>
      <c r="C72" s="128"/>
      <c r="D72" s="129"/>
      <c r="E72" s="129"/>
      <c r="F72" s="129"/>
      <c r="G72" s="129"/>
      <c r="H72" s="129"/>
      <c r="I72" s="130"/>
      <c r="J72" s="130"/>
      <c r="K72" s="130"/>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row>
    <row r="73" ht="15.0" customHeight="1">
      <c r="A73" s="128"/>
      <c r="B73" s="128"/>
      <c r="C73" s="128"/>
      <c r="D73" s="129"/>
      <c r="E73" s="129"/>
      <c r="F73" s="129"/>
      <c r="G73" s="129"/>
      <c r="H73" s="129"/>
      <c r="I73" s="130"/>
      <c r="J73" s="130"/>
      <c r="K73" s="130"/>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row>
    <row r="74" ht="15.0" customHeight="1">
      <c r="A74" s="128"/>
      <c r="B74" s="128"/>
      <c r="C74" s="128"/>
      <c r="D74" s="129"/>
      <c r="E74" s="129"/>
      <c r="F74" s="129"/>
      <c r="G74" s="129"/>
      <c r="H74" s="129"/>
      <c r="I74" s="130"/>
      <c r="J74" s="130"/>
      <c r="K74" s="130"/>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row>
    <row r="75" ht="15.0" customHeight="1">
      <c r="A75" s="128"/>
      <c r="B75" s="128"/>
      <c r="C75" s="128"/>
      <c r="D75" s="129"/>
      <c r="E75" s="129"/>
      <c r="F75" s="129"/>
      <c r="G75" s="129"/>
      <c r="H75" s="129"/>
      <c r="I75" s="130"/>
      <c r="J75" s="130"/>
      <c r="K75" s="130"/>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row>
    <row r="76" ht="15.0" customHeight="1">
      <c r="A76" s="128"/>
      <c r="B76" s="128"/>
      <c r="C76" s="128"/>
      <c r="D76" s="129"/>
      <c r="E76" s="129"/>
      <c r="F76" s="129"/>
      <c r="G76" s="129"/>
      <c r="H76" s="129"/>
      <c r="I76" s="130"/>
      <c r="J76" s="130"/>
      <c r="K76" s="130"/>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row>
    <row r="77" ht="15.0" customHeight="1">
      <c r="A77" s="128"/>
      <c r="B77" s="128"/>
      <c r="C77" s="128"/>
      <c r="D77" s="129"/>
      <c r="E77" s="129"/>
      <c r="F77" s="129"/>
      <c r="G77" s="129"/>
      <c r="H77" s="129"/>
      <c r="I77" s="130"/>
      <c r="J77" s="130"/>
      <c r="K77" s="130"/>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row>
    <row r="78" ht="15.0" customHeight="1">
      <c r="A78" s="128"/>
      <c r="B78" s="128"/>
      <c r="C78" s="128"/>
      <c r="D78" s="129"/>
      <c r="E78" s="129"/>
      <c r="F78" s="129"/>
      <c r="G78" s="129"/>
      <c r="H78" s="129"/>
      <c r="I78" s="130"/>
      <c r="J78" s="130"/>
      <c r="K78" s="130"/>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row>
    <row r="79" ht="15.0" customHeight="1">
      <c r="A79" s="128"/>
      <c r="B79" s="128"/>
      <c r="C79" s="128"/>
      <c r="D79" s="129"/>
      <c r="E79" s="129"/>
      <c r="F79" s="129"/>
      <c r="G79" s="129"/>
      <c r="H79" s="129"/>
      <c r="I79" s="130"/>
      <c r="J79" s="130"/>
      <c r="K79" s="130"/>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row>
    <row r="80" ht="15.0" customHeight="1">
      <c r="A80" s="128"/>
      <c r="B80" s="128"/>
      <c r="C80" s="128"/>
      <c r="D80" s="129"/>
      <c r="E80" s="129"/>
      <c r="F80" s="129"/>
      <c r="G80" s="129"/>
      <c r="H80" s="129"/>
      <c r="I80" s="130"/>
      <c r="J80" s="130"/>
      <c r="K80" s="130"/>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row>
    <row r="81" ht="15.0" customHeight="1">
      <c r="A81" s="128"/>
      <c r="B81" s="128"/>
      <c r="C81" s="128"/>
      <c r="D81" s="129"/>
      <c r="E81" s="129"/>
      <c r="F81" s="129"/>
      <c r="G81" s="129"/>
      <c r="H81" s="129"/>
      <c r="I81" s="130"/>
      <c r="J81" s="130"/>
      <c r="K81" s="130"/>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row>
    <row r="82" ht="15.0" customHeight="1">
      <c r="A82" s="128"/>
      <c r="B82" s="128"/>
      <c r="C82" s="128"/>
      <c r="D82" s="129"/>
      <c r="E82" s="129"/>
      <c r="F82" s="129"/>
      <c r="G82" s="129"/>
      <c r="H82" s="129"/>
      <c r="I82" s="130"/>
      <c r="J82" s="130"/>
      <c r="K82" s="130"/>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row>
    <row r="83" ht="15.0" customHeight="1">
      <c r="A83" s="128"/>
      <c r="B83" s="128"/>
      <c r="C83" s="128"/>
      <c r="D83" s="129"/>
      <c r="E83" s="129"/>
      <c r="F83" s="129"/>
      <c r="G83" s="129"/>
      <c r="H83" s="129"/>
      <c r="I83" s="130"/>
      <c r="J83" s="130"/>
      <c r="K83" s="130"/>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row>
    <row r="84" ht="15.0" customHeight="1">
      <c r="A84" s="128"/>
      <c r="B84" s="128"/>
      <c r="C84" s="128"/>
      <c r="D84" s="129"/>
      <c r="E84" s="129"/>
      <c r="F84" s="129"/>
      <c r="G84" s="129"/>
      <c r="H84" s="129"/>
      <c r="I84" s="130"/>
      <c r="J84" s="130"/>
      <c r="K84" s="130"/>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row>
    <row r="85" ht="15.0" customHeight="1">
      <c r="A85" s="128"/>
      <c r="B85" s="128"/>
      <c r="C85" s="128"/>
      <c r="D85" s="129"/>
      <c r="E85" s="129"/>
      <c r="F85" s="129"/>
      <c r="G85" s="129"/>
      <c r="H85" s="129"/>
      <c r="I85" s="130"/>
      <c r="J85" s="130"/>
      <c r="K85" s="130"/>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row>
    <row r="86" ht="15.0" customHeight="1">
      <c r="A86" s="128"/>
      <c r="B86" s="128"/>
      <c r="C86" s="128"/>
      <c r="D86" s="129"/>
      <c r="E86" s="129"/>
      <c r="F86" s="129"/>
      <c r="G86" s="129"/>
      <c r="H86" s="129"/>
      <c r="I86" s="130"/>
      <c r="J86" s="130"/>
      <c r="K86" s="130"/>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row>
    <row r="87" ht="15.0" customHeight="1">
      <c r="A87" s="128"/>
      <c r="B87" s="128"/>
      <c r="C87" s="128"/>
      <c r="D87" s="129"/>
      <c r="E87" s="129"/>
      <c r="F87" s="129"/>
      <c r="G87" s="129"/>
      <c r="H87" s="129"/>
      <c r="I87" s="130"/>
      <c r="J87" s="130"/>
      <c r="K87" s="130"/>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row>
    <row r="88" ht="15.0" customHeight="1">
      <c r="A88" s="128"/>
      <c r="B88" s="128"/>
      <c r="C88" s="128"/>
      <c r="D88" s="129"/>
      <c r="E88" s="129"/>
      <c r="F88" s="129"/>
      <c r="G88" s="129"/>
      <c r="H88" s="129"/>
      <c r="I88" s="130"/>
      <c r="J88" s="130"/>
      <c r="K88" s="130"/>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row>
    <row r="89" ht="15.0" customHeight="1">
      <c r="A89" s="128"/>
      <c r="B89" s="128"/>
      <c r="C89" s="128"/>
      <c r="D89" s="129"/>
      <c r="E89" s="129"/>
      <c r="F89" s="129"/>
      <c r="G89" s="129"/>
      <c r="H89" s="129"/>
      <c r="I89" s="130"/>
      <c r="J89" s="130"/>
      <c r="K89" s="130"/>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row>
    <row r="90" ht="15.0" customHeight="1">
      <c r="A90" s="128"/>
      <c r="B90" s="128"/>
      <c r="C90" s="128"/>
      <c r="D90" s="129"/>
      <c r="E90" s="129"/>
      <c r="F90" s="129"/>
      <c r="G90" s="129"/>
      <c r="H90" s="129"/>
      <c r="I90" s="130"/>
      <c r="J90" s="130"/>
      <c r="K90" s="130"/>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row>
    <row r="91" ht="15.0" customHeight="1">
      <c r="A91" s="128"/>
      <c r="B91" s="128"/>
      <c r="C91" s="128"/>
      <c r="D91" s="129"/>
      <c r="E91" s="129"/>
      <c r="F91" s="129"/>
      <c r="G91" s="129"/>
      <c r="H91" s="129"/>
      <c r="I91" s="130"/>
      <c r="J91" s="130"/>
      <c r="K91" s="130"/>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row>
    <row r="92" ht="15.0" customHeight="1">
      <c r="A92" s="128"/>
      <c r="B92" s="128"/>
      <c r="C92" s="128"/>
      <c r="D92" s="129"/>
      <c r="E92" s="129"/>
      <c r="F92" s="129"/>
      <c r="G92" s="129"/>
      <c r="H92" s="129"/>
      <c r="I92" s="130"/>
      <c r="J92" s="130"/>
      <c r="K92" s="130"/>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row>
    <row r="93" ht="15.0" customHeight="1">
      <c r="A93" s="128"/>
      <c r="B93" s="128"/>
      <c r="C93" s="128"/>
      <c r="D93" s="129"/>
      <c r="E93" s="129"/>
      <c r="F93" s="129"/>
      <c r="G93" s="129"/>
      <c r="H93" s="129"/>
      <c r="I93" s="130"/>
      <c r="J93" s="130"/>
      <c r="K93" s="130"/>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row>
    <row r="94" ht="15.0" customHeight="1">
      <c r="A94" s="128"/>
      <c r="B94" s="128"/>
      <c r="C94" s="128"/>
      <c r="D94" s="129"/>
      <c r="E94" s="129"/>
      <c r="F94" s="129"/>
      <c r="G94" s="129"/>
      <c r="H94" s="129"/>
      <c r="I94" s="130"/>
      <c r="J94" s="130"/>
      <c r="K94" s="130"/>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row>
    <row r="95" ht="15.0" customHeight="1">
      <c r="A95" s="128"/>
      <c r="B95" s="128"/>
      <c r="C95" s="128"/>
      <c r="D95" s="129"/>
      <c r="E95" s="129"/>
      <c r="F95" s="129"/>
      <c r="G95" s="129"/>
      <c r="H95" s="129"/>
      <c r="I95" s="130"/>
      <c r="J95" s="130"/>
      <c r="K95" s="130"/>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row>
    <row r="96" ht="15.0" customHeight="1">
      <c r="A96" s="128"/>
      <c r="B96" s="128"/>
      <c r="C96" s="128"/>
      <c r="D96" s="129"/>
      <c r="E96" s="129"/>
      <c r="F96" s="129"/>
      <c r="G96" s="129"/>
      <c r="H96" s="129"/>
      <c r="I96" s="130"/>
      <c r="J96" s="130"/>
      <c r="K96" s="130"/>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row>
    <row r="97" ht="15.0" customHeight="1">
      <c r="A97" s="128"/>
      <c r="B97" s="128"/>
      <c r="C97" s="128"/>
      <c r="D97" s="129"/>
      <c r="E97" s="129"/>
      <c r="F97" s="129"/>
      <c r="G97" s="129"/>
      <c r="H97" s="129"/>
      <c r="I97" s="130"/>
      <c r="J97" s="130"/>
      <c r="K97" s="130"/>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row>
    <row r="98" ht="15.0" customHeight="1">
      <c r="A98" s="128"/>
      <c r="B98" s="128"/>
      <c r="C98" s="128"/>
      <c r="D98" s="129"/>
      <c r="E98" s="129"/>
      <c r="F98" s="129"/>
      <c r="G98" s="129"/>
      <c r="H98" s="129"/>
      <c r="I98" s="130"/>
      <c r="J98" s="130"/>
      <c r="K98" s="130"/>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row>
    <row r="99" ht="15.0" customHeight="1">
      <c r="A99" s="128"/>
      <c r="B99" s="128"/>
      <c r="C99" s="128"/>
      <c r="D99" s="129"/>
      <c r="E99" s="129"/>
      <c r="F99" s="129"/>
      <c r="G99" s="129"/>
      <c r="H99" s="129"/>
      <c r="I99" s="130"/>
      <c r="J99" s="130"/>
      <c r="K99" s="130"/>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row>
    <row r="100" ht="15.0" customHeight="1">
      <c r="A100" s="128"/>
      <c r="B100" s="128"/>
      <c r="C100" s="128"/>
      <c r="D100" s="129"/>
      <c r="E100" s="129"/>
      <c r="F100" s="129"/>
      <c r="G100" s="129"/>
      <c r="H100" s="129"/>
      <c r="I100" s="130"/>
      <c r="J100" s="130"/>
      <c r="K100" s="130"/>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row>
    <row r="101" ht="15.0" customHeight="1">
      <c r="A101" s="128"/>
      <c r="B101" s="128"/>
      <c r="C101" s="128"/>
      <c r="D101" s="129"/>
      <c r="E101" s="129"/>
      <c r="F101" s="129"/>
      <c r="G101" s="129"/>
      <c r="H101" s="129"/>
      <c r="I101" s="130"/>
      <c r="J101" s="130"/>
      <c r="K101" s="130"/>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row>
    <row r="102" ht="15.0" customHeight="1">
      <c r="A102" s="128"/>
      <c r="B102" s="128"/>
      <c r="C102" s="128"/>
      <c r="D102" s="129"/>
      <c r="E102" s="129"/>
      <c r="F102" s="129"/>
      <c r="G102" s="129"/>
      <c r="H102" s="129"/>
      <c r="I102" s="130"/>
      <c r="J102" s="130"/>
      <c r="K102" s="130"/>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row>
    <row r="103" ht="15.0" customHeight="1">
      <c r="A103" s="128"/>
      <c r="B103" s="128"/>
      <c r="C103" s="128"/>
      <c r="D103" s="129"/>
      <c r="E103" s="129"/>
      <c r="F103" s="129"/>
      <c r="G103" s="129"/>
      <c r="H103" s="129"/>
      <c r="I103" s="130"/>
      <c r="J103" s="130"/>
      <c r="K103" s="130"/>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row>
    <row r="104" ht="15.0" customHeight="1">
      <c r="A104" s="128"/>
      <c r="B104" s="128"/>
      <c r="C104" s="128"/>
      <c r="D104" s="129"/>
      <c r="E104" s="129"/>
      <c r="F104" s="129"/>
      <c r="G104" s="129"/>
      <c r="H104" s="129"/>
      <c r="I104" s="130"/>
      <c r="J104" s="130"/>
      <c r="K104" s="130"/>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row>
    <row r="105" ht="15.0" customHeight="1">
      <c r="A105" s="128"/>
      <c r="B105" s="128"/>
      <c r="C105" s="128"/>
      <c r="D105" s="129"/>
      <c r="E105" s="129"/>
      <c r="F105" s="129"/>
      <c r="G105" s="129"/>
      <c r="H105" s="129"/>
      <c r="I105" s="130"/>
      <c r="J105" s="130"/>
      <c r="K105" s="130"/>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row>
    <row r="106" ht="15.0" customHeight="1">
      <c r="A106" s="128"/>
      <c r="B106" s="128"/>
      <c r="C106" s="128"/>
      <c r="D106" s="129"/>
      <c r="E106" s="129"/>
      <c r="F106" s="129"/>
      <c r="G106" s="129"/>
      <c r="H106" s="129"/>
      <c r="I106" s="130"/>
      <c r="J106" s="130"/>
      <c r="K106" s="130"/>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row>
    <row r="107" ht="15.0" customHeight="1">
      <c r="A107" s="128"/>
      <c r="B107" s="128"/>
      <c r="C107" s="128"/>
      <c r="D107" s="129"/>
      <c r="E107" s="129"/>
      <c r="F107" s="129"/>
      <c r="G107" s="129"/>
      <c r="H107" s="129"/>
      <c r="I107" s="130"/>
      <c r="J107" s="130"/>
      <c r="K107" s="130"/>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row>
    <row r="108" ht="15.0" customHeight="1">
      <c r="A108" s="128"/>
      <c r="B108" s="128"/>
      <c r="C108" s="128"/>
      <c r="D108" s="129"/>
      <c r="E108" s="129"/>
      <c r="F108" s="129"/>
      <c r="G108" s="129"/>
      <c r="H108" s="129"/>
      <c r="I108" s="130"/>
      <c r="J108" s="130"/>
      <c r="K108" s="130"/>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row>
    <row r="109" ht="15.0" customHeight="1">
      <c r="A109" s="128"/>
      <c r="B109" s="128"/>
      <c r="C109" s="128"/>
      <c r="D109" s="129"/>
      <c r="E109" s="129"/>
      <c r="F109" s="129"/>
      <c r="G109" s="129"/>
      <c r="H109" s="129"/>
      <c r="I109" s="130"/>
      <c r="J109" s="130"/>
      <c r="K109" s="130"/>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row>
    <row r="110" ht="15.0" customHeight="1">
      <c r="A110" s="128"/>
      <c r="B110" s="128"/>
      <c r="C110" s="128"/>
      <c r="D110" s="129"/>
      <c r="E110" s="129"/>
      <c r="F110" s="129"/>
      <c r="G110" s="129"/>
      <c r="H110" s="129"/>
      <c r="I110" s="130"/>
      <c r="J110" s="130"/>
      <c r="K110" s="130"/>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row>
    <row r="111" ht="15.0" customHeight="1">
      <c r="A111" s="128"/>
      <c r="B111" s="128"/>
      <c r="C111" s="128"/>
      <c r="D111" s="129"/>
      <c r="E111" s="129"/>
      <c r="F111" s="129"/>
      <c r="G111" s="129"/>
      <c r="H111" s="129"/>
      <c r="I111" s="130"/>
      <c r="J111" s="130"/>
      <c r="K111" s="130"/>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row>
    <row r="112" ht="15.0" customHeight="1">
      <c r="A112" s="128"/>
      <c r="B112" s="128"/>
      <c r="C112" s="128"/>
      <c r="D112" s="129"/>
      <c r="E112" s="129"/>
      <c r="F112" s="129"/>
      <c r="G112" s="129"/>
      <c r="H112" s="129"/>
      <c r="I112" s="130"/>
      <c r="J112" s="130"/>
      <c r="K112" s="130"/>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row>
    <row r="113" ht="15.0" customHeight="1">
      <c r="A113" s="128"/>
      <c r="B113" s="128"/>
      <c r="C113" s="128"/>
      <c r="D113" s="129"/>
      <c r="E113" s="129"/>
      <c r="F113" s="129"/>
      <c r="G113" s="129"/>
      <c r="H113" s="129"/>
      <c r="I113" s="130"/>
      <c r="J113" s="130"/>
      <c r="K113" s="130"/>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row>
    <row r="114" ht="15.0" customHeight="1">
      <c r="G114" s="128"/>
      <c r="H114" s="128"/>
      <c r="I114" s="128"/>
      <c r="J114" s="128"/>
      <c r="K114" s="128"/>
      <c r="L114" s="128"/>
      <c r="M114" s="128"/>
      <c r="N114" s="128"/>
      <c r="O114" s="128"/>
      <c r="P114" s="128"/>
      <c r="Q114" s="128"/>
      <c r="R114" s="128"/>
      <c r="S114" s="128"/>
      <c r="T114" s="128"/>
      <c r="U114" s="128"/>
      <c r="V114" s="128"/>
      <c r="W114" s="128"/>
    </row>
    <row r="115" ht="15.0" customHeight="1">
      <c r="G115" s="128"/>
      <c r="H115" s="128"/>
      <c r="I115" s="128"/>
      <c r="J115" s="128"/>
      <c r="K115" s="128"/>
      <c r="L115" s="128"/>
      <c r="M115" s="128"/>
      <c r="N115" s="128"/>
      <c r="O115" s="128"/>
      <c r="P115" s="128"/>
      <c r="Q115" s="128"/>
      <c r="R115" s="128"/>
      <c r="S115" s="128"/>
      <c r="T115" s="128"/>
      <c r="U115" s="128"/>
      <c r="V115" s="128"/>
      <c r="W115" s="128"/>
    </row>
    <row r="116" ht="15.0" customHeight="1">
      <c r="G116" s="128"/>
      <c r="H116" s="128"/>
      <c r="I116" s="128"/>
      <c r="J116" s="128"/>
      <c r="K116" s="128"/>
      <c r="L116" s="128"/>
      <c r="M116" s="128"/>
      <c r="N116" s="128"/>
      <c r="O116" s="128"/>
      <c r="P116" s="128"/>
      <c r="Q116" s="128"/>
      <c r="R116" s="128"/>
      <c r="S116" s="128"/>
      <c r="T116" s="128"/>
      <c r="U116" s="128"/>
      <c r="V116" s="128"/>
      <c r="W116" s="128"/>
    </row>
    <row r="117" ht="15.0" customHeight="1">
      <c r="G117" s="128"/>
      <c r="H117" s="128"/>
      <c r="I117" s="128"/>
      <c r="J117" s="128"/>
      <c r="K117" s="128"/>
      <c r="L117" s="128"/>
      <c r="M117" s="128"/>
      <c r="N117" s="128"/>
      <c r="O117" s="128"/>
      <c r="P117" s="128"/>
      <c r="Q117" s="128"/>
      <c r="R117" s="128"/>
      <c r="S117" s="128"/>
      <c r="T117" s="128"/>
      <c r="U117" s="128"/>
      <c r="V117" s="128"/>
      <c r="W117" s="128"/>
    </row>
    <row r="118" ht="15.0" customHeight="1">
      <c r="G118" s="128"/>
      <c r="H118" s="128"/>
      <c r="I118" s="128"/>
      <c r="J118" s="128"/>
      <c r="K118" s="128"/>
      <c r="L118" s="128"/>
      <c r="M118" s="128"/>
      <c r="N118" s="128"/>
      <c r="O118" s="128"/>
      <c r="P118" s="128"/>
      <c r="Q118" s="128"/>
      <c r="R118" s="128"/>
      <c r="S118" s="128"/>
      <c r="T118" s="128"/>
      <c r="U118" s="128"/>
      <c r="V118" s="128"/>
      <c r="W118" s="128"/>
    </row>
    <row r="119" ht="14.25" customHeight="1">
      <c r="G119" s="128"/>
      <c r="H119" s="128"/>
      <c r="I119" s="128"/>
      <c r="J119" s="128"/>
      <c r="K119" s="128"/>
      <c r="L119" s="128"/>
      <c r="M119" s="128"/>
      <c r="N119" s="128"/>
      <c r="O119" s="128"/>
      <c r="P119" s="128"/>
      <c r="Q119" s="128"/>
      <c r="R119" s="128"/>
      <c r="S119" s="128"/>
      <c r="T119" s="128"/>
      <c r="U119" s="128"/>
      <c r="V119" s="128"/>
      <c r="W119" s="128"/>
    </row>
    <row r="120" ht="14.25" customHeight="1">
      <c r="G120" s="128"/>
      <c r="H120" s="128"/>
      <c r="I120" s="128"/>
      <c r="J120" s="128"/>
      <c r="K120" s="128"/>
      <c r="L120" s="128"/>
      <c r="M120" s="128"/>
      <c r="N120" s="128"/>
      <c r="O120" s="128"/>
      <c r="P120" s="128"/>
      <c r="Q120" s="128"/>
      <c r="R120" s="128"/>
      <c r="S120" s="128"/>
      <c r="T120" s="128"/>
      <c r="U120" s="128"/>
      <c r="V120" s="128"/>
      <c r="W120" s="128"/>
    </row>
    <row r="121" ht="14.25" customHeight="1">
      <c r="G121" s="128"/>
      <c r="H121" s="128"/>
      <c r="I121" s="128"/>
      <c r="J121" s="128"/>
      <c r="K121" s="128"/>
      <c r="L121" s="128"/>
      <c r="M121" s="128"/>
      <c r="N121" s="128"/>
      <c r="O121" s="128"/>
      <c r="P121" s="128"/>
      <c r="Q121" s="128"/>
      <c r="R121" s="128"/>
      <c r="S121" s="128"/>
      <c r="T121" s="128"/>
      <c r="U121" s="128"/>
      <c r="V121" s="128"/>
      <c r="W121" s="128"/>
    </row>
    <row r="122" ht="14.25" customHeight="1">
      <c r="G122" s="128"/>
      <c r="H122" s="128"/>
      <c r="I122" s="128"/>
      <c r="J122" s="128"/>
      <c r="K122" s="128"/>
      <c r="L122" s="128"/>
      <c r="M122" s="128"/>
      <c r="N122" s="128"/>
      <c r="O122" s="128"/>
      <c r="P122" s="128"/>
      <c r="Q122" s="128"/>
      <c r="R122" s="128"/>
      <c r="S122" s="128"/>
      <c r="T122" s="128"/>
      <c r="U122" s="128"/>
      <c r="V122" s="128"/>
      <c r="W122" s="128"/>
    </row>
    <row r="123" ht="14.25" customHeight="1">
      <c r="G123" s="128"/>
      <c r="H123" s="128"/>
      <c r="I123" s="128"/>
      <c r="J123" s="128"/>
      <c r="K123" s="128"/>
      <c r="L123" s="128"/>
      <c r="M123" s="128"/>
      <c r="N123" s="128"/>
      <c r="O123" s="128"/>
      <c r="P123" s="128"/>
      <c r="Q123" s="128"/>
      <c r="R123" s="128"/>
      <c r="S123" s="128"/>
      <c r="T123" s="128"/>
      <c r="U123" s="128"/>
      <c r="V123" s="128"/>
      <c r="W123" s="128"/>
    </row>
    <row r="124" ht="14.25" customHeight="1">
      <c r="G124" s="128"/>
      <c r="H124" s="128"/>
      <c r="I124" s="128"/>
      <c r="J124" s="128"/>
      <c r="K124" s="128"/>
      <c r="L124" s="128"/>
      <c r="M124" s="128"/>
      <c r="N124" s="128"/>
      <c r="O124" s="128"/>
      <c r="P124" s="128"/>
      <c r="Q124" s="128"/>
      <c r="R124" s="128"/>
      <c r="S124" s="128"/>
      <c r="T124" s="128"/>
      <c r="U124" s="128"/>
      <c r="V124" s="128"/>
      <c r="W124" s="128"/>
    </row>
    <row r="125" ht="14.25" customHeight="1">
      <c r="G125" s="128"/>
      <c r="H125" s="128"/>
      <c r="I125" s="128"/>
      <c r="J125" s="128"/>
      <c r="K125" s="128"/>
      <c r="L125" s="128"/>
      <c r="M125" s="128"/>
      <c r="N125" s="128"/>
      <c r="O125" s="128"/>
      <c r="P125" s="128"/>
      <c r="Q125" s="128"/>
      <c r="R125" s="128"/>
      <c r="S125" s="128"/>
      <c r="T125" s="128"/>
      <c r="U125" s="128"/>
      <c r="V125" s="128"/>
      <c r="W125" s="128"/>
    </row>
    <row r="126" ht="14.25" customHeight="1">
      <c r="G126" s="128"/>
      <c r="H126" s="128"/>
      <c r="I126" s="128"/>
      <c r="J126" s="128"/>
      <c r="K126" s="128"/>
      <c r="L126" s="128"/>
      <c r="M126" s="128"/>
      <c r="N126" s="128"/>
      <c r="O126" s="128"/>
      <c r="P126" s="128"/>
      <c r="Q126" s="128"/>
      <c r="R126" s="128"/>
      <c r="S126" s="128"/>
      <c r="T126" s="128"/>
      <c r="U126" s="128"/>
      <c r="V126" s="128"/>
      <c r="W126" s="128"/>
    </row>
    <row r="127" ht="14.25" customHeight="1">
      <c r="G127" s="128"/>
      <c r="H127" s="128"/>
      <c r="I127" s="128"/>
      <c r="J127" s="128"/>
      <c r="K127" s="128"/>
      <c r="L127" s="128"/>
      <c r="M127" s="128"/>
      <c r="N127" s="128"/>
      <c r="O127" s="128"/>
      <c r="P127" s="128"/>
      <c r="Q127" s="128"/>
      <c r="R127" s="128"/>
      <c r="S127" s="128"/>
      <c r="T127" s="128"/>
    </row>
    <row r="128" ht="14.25" customHeight="1">
      <c r="G128" s="128"/>
      <c r="H128" s="128"/>
      <c r="I128" s="128"/>
      <c r="J128" s="128"/>
      <c r="K128" s="128"/>
      <c r="L128" s="128"/>
      <c r="M128" s="128"/>
      <c r="N128" s="128"/>
      <c r="O128" s="128"/>
      <c r="P128" s="128"/>
      <c r="Q128" s="128"/>
      <c r="R128" s="128"/>
      <c r="S128" s="128"/>
      <c r="T128" s="128"/>
    </row>
    <row r="129" ht="14.25" customHeight="1">
      <c r="G129" s="128"/>
      <c r="H129" s="128"/>
      <c r="I129" s="128"/>
      <c r="J129" s="128"/>
      <c r="K129" s="128"/>
      <c r="L129" s="128"/>
      <c r="M129" s="128"/>
      <c r="N129" s="128"/>
      <c r="O129" s="128"/>
      <c r="P129" s="128"/>
      <c r="Q129" s="128"/>
      <c r="R129" s="128"/>
      <c r="S129" s="128"/>
      <c r="T129" s="128"/>
    </row>
    <row r="130" ht="14.25" customHeight="1">
      <c r="G130" s="128"/>
      <c r="H130" s="128"/>
      <c r="I130" s="128"/>
      <c r="J130" s="128"/>
      <c r="K130" s="128"/>
      <c r="L130" s="128"/>
      <c r="M130" s="128"/>
      <c r="N130" s="128"/>
      <c r="O130" s="128"/>
      <c r="P130" s="128"/>
      <c r="Q130" s="128"/>
      <c r="R130" s="128"/>
      <c r="S130" s="128"/>
      <c r="T130" s="128"/>
    </row>
    <row r="131" ht="14.25" customHeight="1">
      <c r="L131" s="128"/>
      <c r="M131" s="128"/>
      <c r="N131" s="128"/>
    </row>
    <row r="132" ht="14.25" customHeight="1">
      <c r="L132" s="128"/>
      <c r="M132" s="128"/>
      <c r="N132" s="128"/>
    </row>
    <row r="133" ht="14.25" customHeight="1">
      <c r="L133" s="128"/>
      <c r="M133" s="128"/>
      <c r="N133" s="128"/>
    </row>
    <row r="134" ht="14.25" customHeight="1">
      <c r="L134" s="128"/>
      <c r="M134" s="128"/>
      <c r="N134" s="128"/>
    </row>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103">
    <mergeCell ref="AT14:AV15"/>
    <mergeCell ref="AW14:AY15"/>
    <mergeCell ref="AZ14:BB15"/>
    <mergeCell ref="BC14:BE15"/>
    <mergeCell ref="AN16:AP16"/>
    <mergeCell ref="AQ16:AS16"/>
    <mergeCell ref="AT16:AV16"/>
    <mergeCell ref="AW16:AY16"/>
    <mergeCell ref="AZ16:BB16"/>
    <mergeCell ref="BC16:BE16"/>
    <mergeCell ref="Y14:AA15"/>
    <mergeCell ref="AB14:AD15"/>
    <mergeCell ref="AE14:AG15"/>
    <mergeCell ref="AH14:AJ15"/>
    <mergeCell ref="AK14:AM15"/>
    <mergeCell ref="AN14:AP15"/>
    <mergeCell ref="AQ14:AS15"/>
    <mergeCell ref="A14:C14"/>
    <mergeCell ref="J14:L15"/>
    <mergeCell ref="M14:O15"/>
    <mergeCell ref="P14:R15"/>
    <mergeCell ref="S14:U15"/>
    <mergeCell ref="V14:X15"/>
    <mergeCell ref="A15:C15"/>
    <mergeCell ref="E14:H14"/>
    <mergeCell ref="E15:H15"/>
    <mergeCell ref="A16:C16"/>
    <mergeCell ref="J16:L16"/>
    <mergeCell ref="M16:O16"/>
    <mergeCell ref="P16:R16"/>
    <mergeCell ref="A17:C17"/>
    <mergeCell ref="E16:H16"/>
    <mergeCell ref="E17:I18"/>
    <mergeCell ref="J17:L18"/>
    <mergeCell ref="M17:O18"/>
    <mergeCell ref="P17:R18"/>
    <mergeCell ref="S17:U18"/>
    <mergeCell ref="V17:X18"/>
    <mergeCell ref="A18:C18"/>
    <mergeCell ref="AT17:AV18"/>
    <mergeCell ref="AW17:AY18"/>
    <mergeCell ref="AZ17:BB18"/>
    <mergeCell ref="BC17:BE18"/>
    <mergeCell ref="Y17:AA18"/>
    <mergeCell ref="AB17:AD18"/>
    <mergeCell ref="AE17:AG18"/>
    <mergeCell ref="AH17:AJ18"/>
    <mergeCell ref="AK17:AM18"/>
    <mergeCell ref="AN17:AP18"/>
    <mergeCell ref="AQ17:AS18"/>
    <mergeCell ref="AN41:AP41"/>
    <mergeCell ref="AQ41:AS41"/>
    <mergeCell ref="AT41:AV41"/>
    <mergeCell ref="AW41:AY41"/>
    <mergeCell ref="AZ41:BB41"/>
    <mergeCell ref="BC41:BE41"/>
    <mergeCell ref="S41:U41"/>
    <mergeCell ref="V41:X41"/>
    <mergeCell ref="Y41:AA41"/>
    <mergeCell ref="AB41:AD41"/>
    <mergeCell ref="AE41:AG41"/>
    <mergeCell ref="AH41:AJ41"/>
    <mergeCell ref="AK41:AM41"/>
    <mergeCell ref="A1:U1"/>
    <mergeCell ref="A3:U3"/>
    <mergeCell ref="A4:C4"/>
    <mergeCell ref="D4:H4"/>
    <mergeCell ref="A5:C5"/>
    <mergeCell ref="D5:H5"/>
    <mergeCell ref="A2:U2"/>
    <mergeCell ref="J6:M6"/>
    <mergeCell ref="J7:M7"/>
    <mergeCell ref="J5:M5"/>
    <mergeCell ref="N5:U5"/>
    <mergeCell ref="A6:C6"/>
    <mergeCell ref="D6:H6"/>
    <mergeCell ref="N6:O6"/>
    <mergeCell ref="D7:H7"/>
    <mergeCell ref="N7:O7"/>
    <mergeCell ref="J8:U8"/>
    <mergeCell ref="J11:AM11"/>
    <mergeCell ref="J12:AM12"/>
    <mergeCell ref="A7:C7"/>
    <mergeCell ref="A8:C8"/>
    <mergeCell ref="D8:H8"/>
    <mergeCell ref="A11:D11"/>
    <mergeCell ref="E11:I11"/>
    <mergeCell ref="A12:C12"/>
    <mergeCell ref="A13:C13"/>
    <mergeCell ref="S16:U16"/>
    <mergeCell ref="V16:X16"/>
    <mergeCell ref="Y16:AA16"/>
    <mergeCell ref="AB16:AD16"/>
    <mergeCell ref="AE16:AG16"/>
    <mergeCell ref="AH16:AJ16"/>
    <mergeCell ref="AK16:AM16"/>
    <mergeCell ref="E12:H12"/>
    <mergeCell ref="E13:H13"/>
    <mergeCell ref="A41:C41"/>
    <mergeCell ref="D41:I41"/>
    <mergeCell ref="J41:L41"/>
    <mergeCell ref="M41:O41"/>
    <mergeCell ref="P41:R41"/>
  </mergeCells>
  <printOptions horizontalCentered="1"/>
  <pageMargins bottom="0.75" footer="0.0" header="0.0" left="0.7" right="0.7" top="0.75"/>
  <pageSetup orientation="landscape"/>
  <headerFooter>
    <oddHeader/>
    <oddFooter>&amp;C 803 Roper Creek Drive Greenville, SC 89615 www.swfeesaver.com</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5.0"/>
    <col customWidth="1" min="2" max="3" width="7.75"/>
    <col customWidth="1" min="4" max="4" width="17.38"/>
    <col customWidth="1" min="5" max="5" width="12.5"/>
    <col customWidth="1" min="6" max="6" width="10.0"/>
    <col customWidth="1" min="7" max="7" width="17.5"/>
    <col customWidth="1" min="8" max="8" width="4.38"/>
    <col customWidth="1" min="9" max="9" width="3.88"/>
    <col customWidth="1" min="10" max="10" width="10.0"/>
    <col customWidth="1" min="11" max="11" width="3.38"/>
    <col customWidth="1" min="12" max="12" width="3.25"/>
    <col customWidth="1" min="13" max="13" width="1.63"/>
    <col customWidth="1" min="14" max="16" width="7.75"/>
    <col customWidth="1" min="17" max="17" width="4.38"/>
    <col customWidth="1" min="18" max="18" width="7.0"/>
    <col customWidth="1" min="19" max="26" width="7.75"/>
  </cols>
  <sheetData>
    <row r="1" ht="25.5" customHeight="1">
      <c r="A1" s="1"/>
    </row>
    <row r="2" ht="51.75" customHeight="1"/>
    <row r="3" ht="21.75" customHeight="1">
      <c r="A3" s="2" t="s">
        <v>0</v>
      </c>
    </row>
    <row r="4" ht="14.25" customHeight="1">
      <c r="F4" s="4"/>
    </row>
    <row r="5" ht="14.25" customHeight="1">
      <c r="B5" s="5" t="s">
        <v>1</v>
      </c>
      <c r="E5" s="8">
        <f>'Sizing Calcs'!$D$4</f>
        <v>43831</v>
      </c>
    </row>
    <row r="6" ht="14.25" customHeight="1">
      <c r="B6" s="5" t="s">
        <v>4</v>
      </c>
      <c r="E6" s="5" t="str">
        <f>'Sizing Calcs'!$D$7</f>
        <v/>
      </c>
      <c r="K6" s="10"/>
      <c r="N6" s="10"/>
    </row>
    <row r="7" ht="14.25" customHeight="1">
      <c r="B7" s="5" t="s">
        <v>5</v>
      </c>
      <c r="E7" s="5" t="str">
        <f>'Sizing Calcs'!$D$8</f>
        <v/>
      </c>
      <c r="K7" s="10"/>
      <c r="N7" s="10"/>
    </row>
    <row r="8" ht="14.25" customHeight="1">
      <c r="B8" s="5" t="s">
        <v>6</v>
      </c>
      <c r="E8" s="5" t="str">
        <f>'Sizing Calcs'!$D$5</f>
        <v/>
      </c>
      <c r="K8" s="10"/>
      <c r="N8" s="10"/>
    </row>
    <row r="9" ht="14.25" customHeight="1">
      <c r="B9" s="5" t="s">
        <v>7</v>
      </c>
      <c r="E9" s="5" t="str">
        <f>'Sizing Calcs'!$D$6</f>
        <v/>
      </c>
      <c r="K9" s="10"/>
      <c r="N9" s="10"/>
    </row>
    <row r="10" ht="14.25" customHeight="1">
      <c r="B10" s="5" t="s">
        <v>8</v>
      </c>
      <c r="E10" s="5" t="str">
        <f>'Sizing Calcs'!N5</f>
        <v>Skimmer Basin 1</v>
      </c>
      <c r="K10" s="10"/>
      <c r="L10" s="15"/>
      <c r="M10" s="15"/>
      <c r="N10" s="10"/>
      <c r="O10" s="15"/>
      <c r="P10" s="15"/>
      <c r="Q10" s="15"/>
      <c r="R10" s="15"/>
    </row>
    <row r="11" ht="14.25" customHeight="1">
      <c r="B11" s="5" t="s">
        <v>10</v>
      </c>
      <c r="E11" s="17">
        <f>'Sizing Calcs'!P6</f>
        <v>10</v>
      </c>
      <c r="F11" s="5" t="s">
        <v>11</v>
      </c>
      <c r="G11" s="19"/>
      <c r="H11" s="19"/>
      <c r="I11" s="19"/>
      <c r="K11" s="10"/>
      <c r="L11" s="15"/>
      <c r="M11" s="15"/>
      <c r="N11" s="10"/>
      <c r="O11" s="15"/>
      <c r="P11" s="15"/>
      <c r="Q11" s="15"/>
      <c r="R11" s="15"/>
    </row>
    <row r="12" ht="14.25" customHeight="1">
      <c r="B12" s="5" t="str">
        <f>'Sizing Calcs'!J6</f>
        <v>Required Sediment Storage Volume:</v>
      </c>
      <c r="E12" s="20">
        <f>'Sizing Calcs'!$T$6</f>
        <v>10000</v>
      </c>
      <c r="F12" s="22" t="s">
        <v>14</v>
      </c>
      <c r="H12" s="19"/>
      <c r="I12" s="19"/>
      <c r="K12" s="10"/>
      <c r="L12" s="15"/>
      <c r="M12" s="15"/>
      <c r="N12" s="10"/>
      <c r="O12" s="15"/>
      <c r="P12" s="15"/>
      <c r="Q12" s="15"/>
      <c r="R12" s="15"/>
    </row>
    <row r="13" ht="14.25" customHeight="1">
      <c r="B13" s="5" t="s">
        <v>16</v>
      </c>
      <c r="E13" s="17">
        <f>'Sizing Calcs'!P7</f>
        <v>12</v>
      </c>
      <c r="F13" s="5" t="s">
        <v>11</v>
      </c>
      <c r="G13" s="17"/>
      <c r="H13" s="17"/>
      <c r="I13" s="17"/>
      <c r="K13" s="10"/>
      <c r="L13" s="15"/>
      <c r="M13" s="15"/>
      <c r="N13" s="10"/>
      <c r="O13" s="15"/>
      <c r="P13" s="15"/>
      <c r="Q13" s="15"/>
      <c r="R13" s="15"/>
    </row>
    <row r="14" ht="48.0" customHeight="1">
      <c r="B14" s="5" t="str">
        <f>'Sizing Calcs'!J7</f>
        <v>Required Dewatering Volume</v>
      </c>
      <c r="E14" s="25">
        <f>'Sizing Calcs'!$T$7</f>
        <v>21600</v>
      </c>
      <c r="F14" s="5" t="s">
        <v>14</v>
      </c>
      <c r="G14" s="27" t="s">
        <v>18</v>
      </c>
      <c r="H14" s="12"/>
      <c r="I14" s="12"/>
      <c r="J14" s="13"/>
      <c r="K14" s="10"/>
      <c r="L14" s="15"/>
      <c r="M14" s="15"/>
      <c r="N14" s="10"/>
      <c r="O14" s="15"/>
      <c r="P14" s="15"/>
      <c r="Q14" s="15"/>
      <c r="R14" s="15"/>
    </row>
    <row r="15" ht="14.25" customHeight="1">
      <c r="B15" s="5"/>
      <c r="C15" s="19"/>
      <c r="D15" s="19"/>
      <c r="E15" s="28"/>
      <c r="F15" s="5"/>
      <c r="G15" s="29"/>
      <c r="H15" s="30"/>
      <c r="I15" s="30"/>
      <c r="J15" s="30"/>
      <c r="K15" s="10"/>
      <c r="L15" s="15"/>
      <c r="M15" s="15"/>
      <c r="N15" s="10"/>
      <c r="O15" s="15"/>
      <c r="P15" s="15"/>
      <c r="Q15" s="15"/>
      <c r="R15" s="15"/>
    </row>
    <row r="16" ht="14.25" customHeight="1"/>
    <row r="17" ht="14.25" customHeight="1">
      <c r="B17" s="32" t="s">
        <v>22</v>
      </c>
      <c r="C17" s="33"/>
      <c r="D17" s="33"/>
      <c r="E17" s="34"/>
      <c r="F17" s="32" t="s">
        <v>23</v>
      </c>
      <c r="G17" s="33"/>
      <c r="H17" s="33"/>
      <c r="I17" s="33"/>
      <c r="J17" s="34"/>
    </row>
    <row r="18" ht="14.25" customHeight="1">
      <c r="B18" s="37" t="s">
        <v>24</v>
      </c>
      <c r="C18" s="33"/>
      <c r="D18" s="33"/>
      <c r="E18" s="38">
        <f>'Sizing Calcs'!D12</f>
        <v>120</v>
      </c>
      <c r="F18" s="37" t="s">
        <v>26</v>
      </c>
      <c r="G18" s="33"/>
      <c r="H18" s="33"/>
      <c r="I18" s="33"/>
      <c r="J18" s="40">
        <f>'Sizing Calcs'!I12</f>
        <v>21666.66667</v>
      </c>
    </row>
    <row r="19" ht="14.25" customHeight="1">
      <c r="B19" s="37" t="s">
        <v>28</v>
      </c>
      <c r="C19" s="33"/>
      <c r="D19" s="33"/>
      <c r="E19" s="38">
        <f>'Sizing Calcs'!D13</f>
        <v>48</v>
      </c>
      <c r="F19" s="37"/>
      <c r="G19" s="33"/>
      <c r="H19" s="33"/>
      <c r="I19" s="33"/>
      <c r="J19" s="38"/>
    </row>
    <row r="20" ht="14.25" customHeight="1">
      <c r="B20" s="37" t="s">
        <v>30</v>
      </c>
      <c r="C20" s="33"/>
      <c r="D20" s="33"/>
      <c r="E20" s="38">
        <f>'Sizing Calcs'!D14</f>
        <v>4</v>
      </c>
      <c r="F20" s="37" t="s">
        <v>31</v>
      </c>
      <c r="G20" s="33"/>
      <c r="H20" s="33"/>
      <c r="I20" s="33"/>
      <c r="J20" s="42">
        <f>'Sizing Calcs'!I14</f>
        <v>162066.6667</v>
      </c>
    </row>
    <row r="21" ht="14.25" customHeight="1">
      <c r="B21" s="37" t="s">
        <v>32</v>
      </c>
      <c r="C21" s="33"/>
      <c r="D21" s="33"/>
      <c r="E21" s="38">
        <f>'Sizing Calcs'!D15</f>
        <v>120</v>
      </c>
      <c r="F21" s="45"/>
      <c r="G21" s="46"/>
      <c r="H21" s="46"/>
      <c r="I21" s="46"/>
      <c r="J21" s="48"/>
    </row>
    <row r="22" ht="14.25" customHeight="1">
      <c r="B22" s="37" t="s">
        <v>33</v>
      </c>
      <c r="C22" s="33"/>
      <c r="D22" s="33"/>
      <c r="E22" s="38">
        <f>'Sizing Calcs'!D16</f>
        <v>60</v>
      </c>
      <c r="F22" s="51"/>
      <c r="J22" s="53"/>
    </row>
    <row r="23" ht="14.25" customHeight="1">
      <c r="B23" s="37" t="s">
        <v>34</v>
      </c>
      <c r="C23" s="33"/>
      <c r="D23" s="33"/>
      <c r="E23" s="38">
        <f>'Sizing Calcs'!D17</f>
        <v>95</v>
      </c>
      <c r="F23" s="54"/>
      <c r="J23" s="55"/>
    </row>
    <row r="24" ht="14.25" customHeight="1">
      <c r="B24" s="37" t="s">
        <v>35</v>
      </c>
      <c r="C24" s="33"/>
      <c r="D24" s="33"/>
      <c r="E24" s="38">
        <f>'Sizing Calcs'!D18</f>
        <v>40</v>
      </c>
      <c r="F24" s="57"/>
      <c r="G24" s="58"/>
      <c r="H24" s="58"/>
      <c r="I24" s="58"/>
      <c r="J24" s="60"/>
    </row>
    <row r="25" ht="14.25" customHeight="1"/>
    <row r="26" ht="14.25" customHeight="1">
      <c r="B26" s="62" t="s">
        <v>37</v>
      </c>
      <c r="C26" s="62"/>
      <c r="D26" s="62"/>
      <c r="E26" s="62"/>
      <c r="F26" s="64">
        <f>+J18/E18*24</f>
        <v>4333.333333</v>
      </c>
      <c r="G26" s="66" t="s">
        <v>43</v>
      </c>
      <c r="H26" s="62">
        <f>'Sizing Calcs'!$D$12</f>
        <v>120</v>
      </c>
      <c r="I26" s="62" t="s">
        <v>48</v>
      </c>
    </row>
    <row r="27" ht="14.25" customHeight="1">
      <c r="B27" s="62"/>
      <c r="C27" s="62"/>
      <c r="D27" s="62"/>
      <c r="E27" s="62"/>
      <c r="F27" s="67">
        <f>+F26/86400</f>
        <v>0.05015432099</v>
      </c>
      <c r="G27" s="66" t="s">
        <v>54</v>
      </c>
      <c r="I27" s="62"/>
      <c r="J27" s="62"/>
    </row>
    <row r="28" ht="14.25" customHeight="1">
      <c r="B28" s="62"/>
      <c r="C28" s="62"/>
      <c r="D28" s="62"/>
      <c r="E28" s="62"/>
      <c r="F28" s="67"/>
      <c r="I28" s="62"/>
      <c r="J28" s="62"/>
    </row>
    <row r="29" ht="14.25" customHeight="1">
      <c r="B29" s="62" t="s">
        <v>56</v>
      </c>
      <c r="C29" s="62"/>
      <c r="D29" s="62"/>
      <c r="E29" s="62"/>
      <c r="F29" s="64">
        <f>+J18/E19*24</f>
        <v>10833.33333</v>
      </c>
      <c r="G29" s="66" t="s">
        <v>43</v>
      </c>
      <c r="H29" s="62">
        <f>'Sizing Calcs'!$D$13</f>
        <v>48</v>
      </c>
      <c r="I29" s="62" t="s">
        <v>48</v>
      </c>
    </row>
    <row r="30" ht="14.25" customHeight="1">
      <c r="B30" s="62"/>
      <c r="C30" s="62"/>
      <c r="D30" s="62"/>
      <c r="E30" s="62"/>
      <c r="F30" s="67">
        <f>+F29/86400</f>
        <v>0.1253858025</v>
      </c>
      <c r="G30" s="66" t="s">
        <v>54</v>
      </c>
      <c r="I30" s="62"/>
      <c r="J30" s="62"/>
    </row>
    <row r="31" ht="14.25" customHeight="1">
      <c r="B31" s="62"/>
      <c r="C31" s="62"/>
      <c r="D31" s="62"/>
      <c r="E31" s="62"/>
      <c r="F31" s="64"/>
      <c r="I31" s="62"/>
      <c r="J31" s="62"/>
    </row>
    <row r="32" ht="14.25" customHeight="1"/>
    <row r="33" ht="14.25" customHeight="1">
      <c r="B33" s="2" t="s">
        <v>58</v>
      </c>
    </row>
    <row r="34" ht="14.25" customHeight="1">
      <c r="B34" s="71" t="s">
        <v>59</v>
      </c>
      <c r="C34" s="71" t="s">
        <v>61</v>
      </c>
      <c r="D34" s="73" t="s">
        <v>62</v>
      </c>
      <c r="E34" s="74"/>
      <c r="F34" s="73" t="s">
        <v>63</v>
      </c>
      <c r="G34" s="74"/>
    </row>
    <row r="35" ht="14.25" customHeight="1">
      <c r="B35" s="76" t="s">
        <v>64</v>
      </c>
      <c r="C35" s="76" t="s">
        <v>66</v>
      </c>
      <c r="D35" s="78">
        <f>'Sizing Calcs'!$L$38</f>
        <v>1456.183513</v>
      </c>
      <c r="E35" s="60"/>
      <c r="F35" s="80" t="str">
        <f>'Sizing Calcs'!$J$41</f>
        <v>no</v>
      </c>
      <c r="G35" s="60"/>
    </row>
    <row r="36" ht="14.25" customHeight="1">
      <c r="B36" s="81" t="s">
        <v>64</v>
      </c>
      <c r="C36" s="81" t="s">
        <v>67</v>
      </c>
      <c r="D36" s="82">
        <f>'Sizing Calcs'!$O$38</f>
        <v>382.044963</v>
      </c>
      <c r="E36" s="34"/>
      <c r="F36" s="84" t="str">
        <f>'Sizing Calcs'!$M$41</f>
        <v>no</v>
      </c>
      <c r="G36" s="34"/>
    </row>
    <row r="37" ht="14.25" customHeight="1">
      <c r="B37" s="81" t="s">
        <v>64</v>
      </c>
      <c r="C37" s="81" t="s">
        <v>70</v>
      </c>
      <c r="D37" s="82">
        <f>'Sizing Calcs'!$R$38</f>
        <v>314.4504947</v>
      </c>
      <c r="E37" s="34"/>
      <c r="F37" s="84" t="str">
        <f>'Sizing Calcs'!$P$41</f>
        <v>no</v>
      </c>
      <c r="G37" s="34"/>
    </row>
    <row r="38" ht="14.25" customHeight="1">
      <c r="B38" s="81" t="s">
        <v>64</v>
      </c>
      <c r="C38" s="81" t="s">
        <v>77</v>
      </c>
      <c r="D38" s="82">
        <f>'Sizing Calcs'!$U$38</f>
        <v>171.0424688</v>
      </c>
      <c r="E38" s="34"/>
      <c r="F38" s="84" t="str">
        <f>'Sizing Calcs'!$S$41</f>
        <v>no</v>
      </c>
      <c r="G38" s="34"/>
    </row>
    <row r="39" ht="14.25" customHeight="1">
      <c r="B39" s="87" t="s">
        <v>64</v>
      </c>
      <c r="C39" s="87" t="s">
        <v>64</v>
      </c>
      <c r="D39" s="88">
        <f>'Sizing Calcs'!$X$38</f>
        <v>102.5890802</v>
      </c>
      <c r="E39" s="74"/>
      <c r="F39" s="90" t="str">
        <f>'Sizing Calcs'!$V$41</f>
        <v>MF 2" - 2"</v>
      </c>
      <c r="G39" s="74"/>
    </row>
    <row r="40" ht="14.25" customHeight="1">
      <c r="B40" s="81" t="s">
        <v>88</v>
      </c>
      <c r="C40" s="81" t="s">
        <v>77</v>
      </c>
      <c r="D40" s="82">
        <f>'Sizing Calcs'!$AA$38</f>
        <v>145.5916278</v>
      </c>
      <c r="E40" s="34"/>
      <c r="F40" s="84" t="str">
        <f>'Sizing Calcs'!$Y$41</f>
        <v>no</v>
      </c>
      <c r="G40" s="34"/>
    </row>
    <row r="41" ht="14.25" customHeight="1">
      <c r="B41" s="81" t="s">
        <v>88</v>
      </c>
      <c r="C41" s="81" t="s">
        <v>98</v>
      </c>
      <c r="D41" s="82">
        <f>'Sizing Calcs'!$AD$38</f>
        <v>80.89961633</v>
      </c>
      <c r="E41" s="34"/>
      <c r="F41" s="84" t="str">
        <f>'Sizing Calcs'!$AB$41</f>
        <v>MF 3" - 2.0" Orifice</v>
      </c>
      <c r="G41" s="34"/>
    </row>
    <row r="42" ht="14.25" customHeight="1">
      <c r="B42" s="93" t="s">
        <v>88</v>
      </c>
      <c r="C42" s="93" t="s">
        <v>101</v>
      </c>
      <c r="D42" s="82">
        <f>'Sizing Calcs'!$AG$38</f>
        <v>70.05544339</v>
      </c>
      <c r="E42" s="34"/>
      <c r="F42" s="84" t="str">
        <f>'Sizing Calcs'!$AE$41</f>
        <v>MF 3"  - 2.5" Orifice</v>
      </c>
      <c r="G42" s="34"/>
    </row>
    <row r="43" ht="14.25" customHeight="1">
      <c r="B43" s="87" t="s">
        <v>88</v>
      </c>
      <c r="C43" s="87" t="s">
        <v>88</v>
      </c>
      <c r="D43" s="88">
        <f>'Sizing Calcs'!$AJ$38</f>
        <v>38.0671592</v>
      </c>
      <c r="E43" s="74"/>
      <c r="F43" s="90" t="str">
        <f>'Sizing Calcs'!$AH$41</f>
        <v>no</v>
      </c>
      <c r="G43" s="74"/>
    </row>
    <row r="44" ht="14.25" customHeight="1">
      <c r="B44" s="93" t="s">
        <v>102</v>
      </c>
      <c r="C44" s="93" t="s">
        <v>98</v>
      </c>
      <c r="D44" s="82">
        <f>'Sizing Calcs'!$AM$38</f>
        <v>73.82827694</v>
      </c>
      <c r="E44" s="34"/>
      <c r="F44" s="84" t="str">
        <f>'Sizing Calcs'!$AK$41</f>
        <v>MF 4" - 2.0" Orifice</v>
      </c>
      <c r="G44" s="34"/>
    </row>
    <row r="45" ht="14.25" customHeight="1">
      <c r="B45" s="93" t="s">
        <v>102</v>
      </c>
      <c r="C45" s="93" t="s">
        <v>101</v>
      </c>
      <c r="D45" s="82">
        <f>'Sizing Calcs'!$AP$38</f>
        <v>45.65032325</v>
      </c>
      <c r="E45" s="34"/>
      <c r="F45" s="84" t="str">
        <f>'Sizing Calcs'!$AN$41</f>
        <v>no</v>
      </c>
      <c r="G45" s="34"/>
    </row>
    <row r="46" ht="14.25" customHeight="1">
      <c r="B46" s="95" t="s">
        <v>102</v>
      </c>
      <c r="C46" s="95" t="s">
        <v>103</v>
      </c>
      <c r="D46" s="82">
        <f>'Sizing Calcs'!$AS$38</f>
        <v>31.87175578</v>
      </c>
      <c r="E46" s="34"/>
      <c r="F46" s="84" t="str">
        <f>'Sizing Calcs'!$AQ$41</f>
        <v>no</v>
      </c>
      <c r="G46" s="34"/>
    </row>
    <row r="47" ht="14.25" customHeight="1">
      <c r="B47" s="87" t="s">
        <v>102</v>
      </c>
      <c r="C47" s="87" t="s">
        <v>102</v>
      </c>
      <c r="D47" s="88">
        <f>'Sizing Calcs'!$AV$38</f>
        <v>25.17857576</v>
      </c>
      <c r="E47" s="74"/>
      <c r="F47" s="90" t="str">
        <f>'Sizing Calcs'!$AT$41</f>
        <v>no</v>
      </c>
      <c r="G47" s="74"/>
    </row>
    <row r="48" ht="14.25" customHeight="1">
      <c r="B48" s="93">
        <v>3.0</v>
      </c>
      <c r="C48" s="93" t="s">
        <v>104</v>
      </c>
      <c r="D48" s="78">
        <f>'Sizing Calcs'!$AY$38</f>
        <v>10.04731686</v>
      </c>
      <c r="E48" s="60"/>
      <c r="F48" s="80" t="str">
        <f>'Sizing Calcs'!$AW$41</f>
        <v>no</v>
      </c>
      <c r="G48" s="60"/>
    </row>
    <row r="49" ht="14.25" customHeight="1">
      <c r="B49" s="81">
        <v>3.0</v>
      </c>
      <c r="C49" s="81" t="s">
        <v>105</v>
      </c>
      <c r="D49" s="82">
        <f>'Sizing Calcs'!$BB$38</f>
        <v>7.788067647</v>
      </c>
      <c r="E49" s="34"/>
      <c r="F49" s="84" t="str">
        <f>'Sizing Calcs'!$AZ$41</f>
        <v>no</v>
      </c>
      <c r="G49" s="34"/>
    </row>
    <row r="50" ht="14.25" customHeight="1">
      <c r="B50" s="87">
        <v>3.0</v>
      </c>
      <c r="C50" s="87" t="s">
        <v>106</v>
      </c>
      <c r="D50" s="88">
        <f>'Sizing Calcs'!$BE$38</f>
        <v>7.391833692</v>
      </c>
      <c r="E50" s="74"/>
      <c r="F50" s="90" t="str">
        <f>'Sizing Calcs'!$BC$41</f>
        <v>no</v>
      </c>
      <c r="G50" s="74"/>
    </row>
    <row r="51" ht="14.25" customHeight="1">
      <c r="B51" s="100"/>
      <c r="C51" s="100"/>
    </row>
    <row r="52" ht="14.25" customHeight="1">
      <c r="B52" s="100"/>
      <c r="C52" s="100"/>
    </row>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7">
    <mergeCell ref="D35:E35"/>
    <mergeCell ref="F35:G35"/>
    <mergeCell ref="D36:E36"/>
    <mergeCell ref="F36:G36"/>
    <mergeCell ref="D37:E37"/>
    <mergeCell ref="F37:G37"/>
    <mergeCell ref="F38:G38"/>
    <mergeCell ref="D45:E45"/>
    <mergeCell ref="D46:E46"/>
    <mergeCell ref="D47:E47"/>
    <mergeCell ref="D48:E48"/>
    <mergeCell ref="D49:E49"/>
    <mergeCell ref="D50:E50"/>
    <mergeCell ref="D38:E38"/>
    <mergeCell ref="D39:E39"/>
    <mergeCell ref="D40:E40"/>
    <mergeCell ref="D41:E41"/>
    <mergeCell ref="D42:E42"/>
    <mergeCell ref="D43:E43"/>
    <mergeCell ref="D44:E44"/>
    <mergeCell ref="F46:G46"/>
    <mergeCell ref="F47:G47"/>
    <mergeCell ref="F48:G48"/>
    <mergeCell ref="F49:G49"/>
    <mergeCell ref="F50:G50"/>
    <mergeCell ref="F39:G39"/>
    <mergeCell ref="F40:G40"/>
    <mergeCell ref="F41:G41"/>
    <mergeCell ref="F42:G42"/>
    <mergeCell ref="F43:G43"/>
    <mergeCell ref="F44:G44"/>
    <mergeCell ref="F45:G45"/>
    <mergeCell ref="K6:M6"/>
    <mergeCell ref="K7:M7"/>
    <mergeCell ref="K8:M8"/>
    <mergeCell ref="N8:R8"/>
    <mergeCell ref="K9:M9"/>
    <mergeCell ref="N9:R9"/>
    <mergeCell ref="B5:D5"/>
    <mergeCell ref="E5:I5"/>
    <mergeCell ref="B6:D6"/>
    <mergeCell ref="E6:I6"/>
    <mergeCell ref="N6:R6"/>
    <mergeCell ref="E7:I7"/>
    <mergeCell ref="N7:R7"/>
    <mergeCell ref="B11:D11"/>
    <mergeCell ref="B12:D12"/>
    <mergeCell ref="B13:D13"/>
    <mergeCell ref="B14:D14"/>
    <mergeCell ref="G14:J14"/>
    <mergeCell ref="B17:E17"/>
    <mergeCell ref="F17:J17"/>
    <mergeCell ref="F22:I22"/>
    <mergeCell ref="F23:J24"/>
    <mergeCell ref="B18:D18"/>
    <mergeCell ref="F18:I18"/>
    <mergeCell ref="B19:D19"/>
    <mergeCell ref="F19:I19"/>
    <mergeCell ref="B20:D20"/>
    <mergeCell ref="F20:I20"/>
    <mergeCell ref="F21:I21"/>
    <mergeCell ref="B21:D21"/>
    <mergeCell ref="B22:D22"/>
    <mergeCell ref="B23:D23"/>
    <mergeCell ref="B24:D24"/>
    <mergeCell ref="B33:G33"/>
    <mergeCell ref="D34:E34"/>
    <mergeCell ref="F34:G34"/>
    <mergeCell ref="A1:J2"/>
    <mergeCell ref="A3:J3"/>
    <mergeCell ref="B7:D7"/>
    <mergeCell ref="B8:D8"/>
    <mergeCell ref="E8:I8"/>
    <mergeCell ref="B9:D9"/>
    <mergeCell ref="E9:I9"/>
    <mergeCell ref="B10:D10"/>
    <mergeCell ref="E10:I10"/>
  </mergeCells>
  <printOptions/>
  <pageMargins bottom="0.75" footer="0.0" header="0.0" left="0.7" right="0.7" top="0.75"/>
  <pageSetup orientation="portrait"/>
  <headerFooter>
    <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75"/>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