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24226"/>
  <mc:AlternateContent xmlns:mc="http://schemas.openxmlformats.org/markup-compatibility/2006">
    <mc:Choice Requires="x15">
      <x15ac:absPath xmlns:x15ac="http://schemas.microsoft.com/office/spreadsheetml/2010/11/ac" url="/Users/carmen/Dropbox (X Agency)/X Agency Team Folder/RYM - RYMAR Waterworks/_Website/_Updated Charts/_Working files/New_7_22_20/"/>
    </mc:Choice>
  </mc:AlternateContent>
  <xr:revisionPtr revIDLastSave="0" documentId="13_ncr:1_{4FC0B9E3-C1F9-2348-B6D0-FBE58363D1B2}" xr6:coauthVersionLast="45" xr6:coauthVersionMax="45" xr10:uidLastSave="{00000000-0000-0000-0000-000000000000}"/>
  <workbookProtection workbookAlgorithmName="SHA-512" workbookHashValue="w5Tw3dYOQTfazBd7ObiX4/PbFNGCcFUJiY+Ei1Er6m2/6MgSHosO5KukNAk9hGKbqU+kU29CiLBz6KgPsirEhA==" workbookSaltValue="VuzogXjeTqCly0m1oHKKCw==" workbookSpinCount="100000" lockStructure="1"/>
  <bookViews>
    <workbookView xWindow="4800" yWindow="460" windowWidth="41700" windowHeight="24720" activeTab="1" xr2:uid="{00000000-000D-0000-FFFF-FFFF00000000}"/>
  </bookViews>
  <sheets>
    <sheet name="Sizing Calcs" sheetId="1" r:id="rId1"/>
    <sheet name="Skimmer Report" sheetId="2" r:id="rId2"/>
    <sheet name="Sheet3" sheetId="3" r:id="rId3"/>
  </sheets>
  <definedNames>
    <definedName name="_xlnm.Print_Area" localSheetId="0">'Sizing Calcs'!$A$2:$BH$42</definedName>
    <definedName name="_xlnm.Print_Area" localSheetId="1">'Skimmer Report'!$B$2:$J$62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F13" i="2"/>
  <c r="G13" i="2"/>
  <c r="H13" i="2"/>
  <c r="T9" i="1"/>
  <c r="J13" i="2" s="1"/>
  <c r="H25" i="2" l="1"/>
  <c r="H28" i="2"/>
  <c r="B13" i="2" l="1"/>
  <c r="B12" i="2"/>
  <c r="B11" i="2"/>
  <c r="E12" i="2"/>
  <c r="E11" i="2"/>
  <c r="E10" i="2"/>
  <c r="E17" i="2"/>
  <c r="E18" i="2"/>
  <c r="E19" i="2"/>
  <c r="E20" i="2"/>
  <c r="E21" i="2"/>
  <c r="E22" i="2"/>
  <c r="E23" i="2"/>
  <c r="E7" i="2"/>
  <c r="E6" i="2"/>
  <c r="E9" i="2"/>
  <c r="E8" i="2"/>
  <c r="E5" i="2"/>
  <c r="A21" i="1" l="1"/>
  <c r="I17" i="1"/>
  <c r="I13" i="1"/>
  <c r="E21" i="1"/>
  <c r="D21" i="1"/>
  <c r="I15" i="1" l="1"/>
  <c r="J19" i="2" s="1"/>
  <c r="J17" i="2"/>
  <c r="C22" i="1"/>
  <c r="F28" i="2" l="1"/>
  <c r="F29" i="2" s="1"/>
  <c r="F25" i="2"/>
  <c r="F26" i="2" s="1"/>
  <c r="E22" i="1"/>
  <c r="D22" i="1"/>
  <c r="A22" i="1"/>
  <c r="C23" i="1" l="1"/>
  <c r="E23" i="1" s="1"/>
  <c r="B22" i="1"/>
  <c r="AE22" i="1" l="1"/>
  <c r="AT22" i="1"/>
  <c r="AU22" i="1" s="1"/>
  <c r="AQ22" i="1"/>
  <c r="AR22" i="1" s="1"/>
  <c r="BU22" i="1"/>
  <c r="BR22" i="1"/>
  <c r="AN22" i="1"/>
  <c r="AO22" i="1" s="1"/>
  <c r="BL22" i="1"/>
  <c r="BX22" i="1"/>
  <c r="BO22" i="1"/>
  <c r="CA22" i="1"/>
  <c r="CD22" i="1"/>
  <c r="BF22" i="1"/>
  <c r="BG22" i="1" s="1"/>
  <c r="BC22" i="1"/>
  <c r="BM22" i="1"/>
  <c r="BI22" i="1"/>
  <c r="BJ22" i="1" s="1"/>
  <c r="AZ22" i="1"/>
  <c r="BA22" i="1" s="1"/>
  <c r="AW22" i="1"/>
  <c r="AX22" i="1" s="1"/>
  <c r="AK22" i="1"/>
  <c r="AL22" i="1" s="1"/>
  <c r="AH22" i="1"/>
  <c r="AI22" i="1" s="1"/>
  <c r="AF22" i="1"/>
  <c r="AB22" i="1"/>
  <c r="AC22" i="1" s="1"/>
  <c r="P22" i="1"/>
  <c r="Q22" i="1" s="1"/>
  <c r="M22" i="1"/>
  <c r="N22" i="1" s="1"/>
  <c r="J22" i="1"/>
  <c r="K22" i="1" s="1"/>
  <c r="Y22" i="1"/>
  <c r="Z22" i="1" s="1"/>
  <c r="V22" i="1"/>
  <c r="W22" i="1" s="1"/>
  <c r="S22" i="1"/>
  <c r="T22" i="1" s="1"/>
  <c r="BD22" i="1"/>
  <c r="A23" i="1"/>
  <c r="C24" i="1" s="1"/>
  <c r="D23" i="1"/>
  <c r="F22" i="1"/>
  <c r="CE22" i="1" l="1"/>
  <c r="BY22" i="1"/>
  <c r="CB22" i="1"/>
  <c r="BS22" i="1"/>
  <c r="BV22" i="1"/>
  <c r="BP22" i="1"/>
  <c r="G22" i="1"/>
  <c r="H22" i="1" s="1"/>
  <c r="B23" i="1"/>
  <c r="E24" i="1"/>
  <c r="D24" i="1"/>
  <c r="A24" i="1"/>
  <c r="AE23" i="1" l="1"/>
  <c r="AT23" i="1"/>
  <c r="AQ23" i="1"/>
  <c r="AR23" i="1" s="1"/>
  <c r="BU23" i="1"/>
  <c r="BR23" i="1"/>
  <c r="AY22" i="1"/>
  <c r="AV22" i="1"/>
  <c r="AS22" i="1"/>
  <c r="AG22" i="1"/>
  <c r="BT22" i="1"/>
  <c r="BW22" i="1"/>
  <c r="BX23" i="1"/>
  <c r="CA23" i="1"/>
  <c r="BL23" i="1"/>
  <c r="CD23" i="1"/>
  <c r="BO23" i="1"/>
  <c r="BN22" i="1"/>
  <c r="BZ22" i="1"/>
  <c r="CC22" i="1"/>
  <c r="BQ22" i="1"/>
  <c r="CF22" i="1"/>
  <c r="BH22" i="1"/>
  <c r="AM22" i="1"/>
  <c r="BE22" i="1"/>
  <c r="AP22" i="1"/>
  <c r="BK22" i="1"/>
  <c r="BB22" i="1"/>
  <c r="BI23" i="1"/>
  <c r="BJ23" i="1" s="1"/>
  <c r="AU23" i="1"/>
  <c r="AZ23" i="1"/>
  <c r="BA23" i="1" s="1"/>
  <c r="BF23" i="1"/>
  <c r="BG23" i="1" s="1"/>
  <c r="BC23" i="1"/>
  <c r="BD23" i="1" s="1"/>
  <c r="AW23" i="1"/>
  <c r="AX23" i="1" s="1"/>
  <c r="AK23" i="1"/>
  <c r="AL23" i="1" s="1"/>
  <c r="AN23" i="1"/>
  <c r="AO23" i="1" s="1"/>
  <c r="AH23" i="1"/>
  <c r="AI23" i="1" s="1"/>
  <c r="AF23" i="1"/>
  <c r="AB23" i="1"/>
  <c r="AC23" i="1" s="1"/>
  <c r="AD22" i="1"/>
  <c r="AJ22" i="1"/>
  <c r="P23" i="1"/>
  <c r="Q23" i="1" s="1"/>
  <c r="Y23" i="1"/>
  <c r="Z23" i="1" s="1"/>
  <c r="V23" i="1"/>
  <c r="W23" i="1" s="1"/>
  <c r="S23" i="1"/>
  <c r="T23" i="1" s="1"/>
  <c r="M23" i="1"/>
  <c r="N23" i="1" s="1"/>
  <c r="J23" i="1"/>
  <c r="K23" i="1" s="1"/>
  <c r="AA22" i="1"/>
  <c r="X22" i="1"/>
  <c r="U22" i="1"/>
  <c r="R22" i="1"/>
  <c r="L22" i="1"/>
  <c r="O22" i="1"/>
  <c r="F23" i="1"/>
  <c r="G23" i="1" s="1"/>
  <c r="H23" i="1" s="1"/>
  <c r="I22" i="1"/>
  <c r="C25" i="1"/>
  <c r="B24" i="1"/>
  <c r="AS23" i="1" l="1"/>
  <c r="AV23" i="1"/>
  <c r="AY23" i="1"/>
  <c r="AE24" i="1"/>
  <c r="AF24" i="1" s="1"/>
  <c r="BU24" i="1"/>
  <c r="BR24" i="1"/>
  <c r="AQ24" i="1"/>
  <c r="AR24" i="1" s="1"/>
  <c r="AG23" i="1"/>
  <c r="BT23" i="1"/>
  <c r="BW23" i="1"/>
  <c r="CA24" i="1"/>
  <c r="CD24" i="1"/>
  <c r="BO24" i="1"/>
  <c r="BL24" i="1"/>
  <c r="BX24" i="1"/>
  <c r="CE23" i="1"/>
  <c r="BZ23" i="1"/>
  <c r="CC23" i="1"/>
  <c r="BN23" i="1"/>
  <c r="CF23" i="1"/>
  <c r="BQ23" i="1"/>
  <c r="CB23" i="1"/>
  <c r="BY23" i="1"/>
  <c r="BK23" i="1"/>
  <c r="AP23" i="1"/>
  <c r="BB23" i="1"/>
  <c r="BH23" i="1"/>
  <c r="AM23" i="1"/>
  <c r="BM23" i="1"/>
  <c r="BS23" i="1"/>
  <c r="BV23" i="1"/>
  <c r="BP23" i="1"/>
  <c r="AT24" i="1"/>
  <c r="AU24" i="1" s="1"/>
  <c r="AZ24" i="1"/>
  <c r="BA24" i="1" s="1"/>
  <c r="BF24" i="1"/>
  <c r="BG24" i="1" s="1"/>
  <c r="BC24" i="1"/>
  <c r="BD24" i="1" s="1"/>
  <c r="BI24" i="1"/>
  <c r="BJ24" i="1" s="1"/>
  <c r="BE23" i="1"/>
  <c r="AW24" i="1"/>
  <c r="AX24" i="1" s="1"/>
  <c r="AN24" i="1"/>
  <c r="AO24" i="1" s="1"/>
  <c r="AK24" i="1"/>
  <c r="AL24" i="1" s="1"/>
  <c r="AB24" i="1"/>
  <c r="AC24" i="1" s="1"/>
  <c r="AH24" i="1"/>
  <c r="AI24" i="1" s="1"/>
  <c r="AJ23" i="1"/>
  <c r="AD23" i="1"/>
  <c r="X23" i="1"/>
  <c r="R23" i="1"/>
  <c r="L23" i="1"/>
  <c r="AA23" i="1"/>
  <c r="U23" i="1"/>
  <c r="O23" i="1"/>
  <c r="Y24" i="1"/>
  <c r="Z24" i="1" s="1"/>
  <c r="V24" i="1"/>
  <c r="W24" i="1" s="1"/>
  <c r="P24" i="1"/>
  <c r="Q24" i="1" s="1"/>
  <c r="M24" i="1"/>
  <c r="N24" i="1" s="1"/>
  <c r="J24" i="1"/>
  <c r="K24" i="1" s="1"/>
  <c r="S24" i="1"/>
  <c r="T24" i="1" s="1"/>
  <c r="F24" i="1"/>
  <c r="I23" i="1"/>
  <c r="A25" i="1"/>
  <c r="E25" i="1"/>
  <c r="D25" i="1"/>
  <c r="CE24" i="1" l="1"/>
  <c r="BY24" i="1"/>
  <c r="CB24" i="1"/>
  <c r="BS24" i="1"/>
  <c r="BP24" i="1"/>
  <c r="BV24" i="1"/>
  <c r="G24" i="1"/>
  <c r="H24" i="1" s="1"/>
  <c r="C26" i="1"/>
  <c r="A26" i="1" s="1"/>
  <c r="B25" i="1"/>
  <c r="AE25" i="1" l="1"/>
  <c r="BU25" i="1"/>
  <c r="BR25" i="1"/>
  <c r="AQ25" i="1"/>
  <c r="AR25" i="1" s="1"/>
  <c r="AG24" i="1"/>
  <c r="BW24" i="1"/>
  <c r="AS24" i="1"/>
  <c r="BT24" i="1"/>
  <c r="CD25" i="1"/>
  <c r="BO25" i="1"/>
  <c r="BL25" i="1"/>
  <c r="BX25" i="1"/>
  <c r="CA25" i="1"/>
  <c r="CC24" i="1"/>
  <c r="BQ24" i="1"/>
  <c r="BN24" i="1"/>
  <c r="CF24" i="1"/>
  <c r="BZ24" i="1"/>
  <c r="AV24" i="1"/>
  <c r="AY24" i="1"/>
  <c r="BB24" i="1"/>
  <c r="BH24" i="1"/>
  <c r="AM24" i="1"/>
  <c r="AP24" i="1"/>
  <c r="BM24" i="1"/>
  <c r="BE24" i="1"/>
  <c r="AZ25" i="1"/>
  <c r="BF25" i="1"/>
  <c r="BG25" i="1" s="1"/>
  <c r="BC25" i="1"/>
  <c r="BD25" i="1" s="1"/>
  <c r="BI25" i="1"/>
  <c r="BJ25" i="1" s="1"/>
  <c r="AT25" i="1"/>
  <c r="AU25" i="1" s="1"/>
  <c r="BK24" i="1"/>
  <c r="AW25" i="1"/>
  <c r="AX25" i="1" s="1"/>
  <c r="AN25" i="1"/>
  <c r="AO25" i="1" s="1"/>
  <c r="AK25" i="1"/>
  <c r="AL25" i="1" s="1"/>
  <c r="AF25" i="1"/>
  <c r="AH25" i="1"/>
  <c r="AI25" i="1" s="1"/>
  <c r="AB25" i="1"/>
  <c r="AC25" i="1" s="1"/>
  <c r="AA24" i="1"/>
  <c r="U24" i="1"/>
  <c r="O24" i="1"/>
  <c r="L24" i="1"/>
  <c r="AJ24" i="1"/>
  <c r="AD24" i="1"/>
  <c r="X24" i="1"/>
  <c r="R24" i="1"/>
  <c r="M25" i="1"/>
  <c r="N25" i="1" s="1"/>
  <c r="J25" i="1"/>
  <c r="K25" i="1" s="1"/>
  <c r="P25" i="1"/>
  <c r="Q25" i="1" s="1"/>
  <c r="S25" i="1"/>
  <c r="T25" i="1" s="1"/>
  <c r="Y25" i="1"/>
  <c r="Z25" i="1" s="1"/>
  <c r="CE25" i="1" s="1"/>
  <c r="V25" i="1"/>
  <c r="W25" i="1" s="1"/>
  <c r="I24" i="1"/>
  <c r="BA25" i="1"/>
  <c r="F25" i="1"/>
  <c r="E26" i="1"/>
  <c r="D26" i="1"/>
  <c r="B26" i="1"/>
  <c r="C27" i="1"/>
  <c r="AE26" i="1" l="1"/>
  <c r="BU26" i="1"/>
  <c r="BR26" i="1"/>
  <c r="AQ26" i="1"/>
  <c r="AR26" i="1" s="1"/>
  <c r="BL26" i="1"/>
  <c r="BX26" i="1"/>
  <c r="CA26" i="1"/>
  <c r="CD26" i="1"/>
  <c r="BO26" i="1"/>
  <c r="BS25" i="1"/>
  <c r="BP25" i="1"/>
  <c r="BV25" i="1"/>
  <c r="CB25" i="1"/>
  <c r="BY25" i="1"/>
  <c r="BF26" i="1"/>
  <c r="BG26" i="1" s="1"/>
  <c r="BC26" i="1"/>
  <c r="BD26" i="1" s="1"/>
  <c r="BI26" i="1"/>
  <c r="BJ26" i="1" s="1"/>
  <c r="AT26" i="1"/>
  <c r="AU26" i="1" s="1"/>
  <c r="AZ26" i="1"/>
  <c r="BA26" i="1" s="1"/>
  <c r="AW26" i="1"/>
  <c r="AX26" i="1" s="1"/>
  <c r="AN26" i="1"/>
  <c r="AO26" i="1" s="1"/>
  <c r="AK26" i="1"/>
  <c r="AL26" i="1" s="1"/>
  <c r="AF26" i="1"/>
  <c r="AH26" i="1"/>
  <c r="AI26" i="1" s="1"/>
  <c r="AB26" i="1"/>
  <c r="AC26" i="1" s="1"/>
  <c r="V26" i="1"/>
  <c r="W26" i="1" s="1"/>
  <c r="P26" i="1"/>
  <c r="Q26" i="1" s="1"/>
  <c r="Y26" i="1"/>
  <c r="Z26" i="1" s="1"/>
  <c r="S26" i="1"/>
  <c r="T26" i="1" s="1"/>
  <c r="J26" i="1"/>
  <c r="K26" i="1" s="1"/>
  <c r="M26" i="1"/>
  <c r="N26" i="1" s="1"/>
  <c r="G25" i="1"/>
  <c r="H25" i="1" s="1"/>
  <c r="BT25" i="1" s="1"/>
  <c r="D27" i="1"/>
  <c r="F26" i="1"/>
  <c r="E27" i="1"/>
  <c r="A27" i="1"/>
  <c r="BW25" i="1" l="1"/>
  <c r="AS25" i="1"/>
  <c r="BM25" i="1"/>
  <c r="AG25" i="1"/>
  <c r="CC25" i="1"/>
  <c r="BQ25" i="1"/>
  <c r="BN25" i="1"/>
  <c r="CE26" i="1"/>
  <c r="CF25" i="1"/>
  <c r="BZ25" i="1"/>
  <c r="AV25" i="1"/>
  <c r="BS26" i="1"/>
  <c r="BV26" i="1"/>
  <c r="BP26" i="1"/>
  <c r="BE25" i="1"/>
  <c r="AM25" i="1"/>
  <c r="AY25" i="1"/>
  <c r="BH25" i="1"/>
  <c r="CB26" i="1"/>
  <c r="BY26" i="1"/>
  <c r="AP25" i="1"/>
  <c r="BB25" i="1"/>
  <c r="BK25" i="1"/>
  <c r="U25" i="1"/>
  <c r="AD25" i="1"/>
  <c r="AJ25" i="1"/>
  <c r="X25" i="1"/>
  <c r="O25" i="1"/>
  <c r="R25" i="1"/>
  <c r="AA25" i="1"/>
  <c r="L25" i="1"/>
  <c r="I25" i="1"/>
  <c r="G26" i="1"/>
  <c r="H26" i="1" s="1"/>
  <c r="BM26" i="1" s="1"/>
  <c r="C28" i="1"/>
  <c r="D28" i="1" s="1"/>
  <c r="B27" i="1"/>
  <c r="AE27" i="1" l="1"/>
  <c r="BU27" i="1"/>
  <c r="BR27" i="1"/>
  <c r="AQ27" i="1"/>
  <c r="AR27" i="1" s="1"/>
  <c r="AS26" i="1"/>
  <c r="BW26" i="1"/>
  <c r="BT26" i="1"/>
  <c r="AG26" i="1"/>
  <c r="BN26" i="1"/>
  <c r="BK26" i="1"/>
  <c r="BZ26" i="1"/>
  <c r="BQ26" i="1"/>
  <c r="AY26" i="1"/>
  <c r="CF26" i="1"/>
  <c r="BX27" i="1"/>
  <c r="CA27" i="1"/>
  <c r="CD27" i="1"/>
  <c r="BO27" i="1"/>
  <c r="BL27" i="1"/>
  <c r="CC26" i="1"/>
  <c r="AM26" i="1"/>
  <c r="BB26" i="1"/>
  <c r="AP26" i="1"/>
  <c r="BE26" i="1"/>
  <c r="AV26" i="1"/>
  <c r="BI27" i="1"/>
  <c r="BJ27" i="1" s="1"/>
  <c r="AT27" i="1"/>
  <c r="AU27" i="1" s="1"/>
  <c r="AZ27" i="1"/>
  <c r="BA27" i="1" s="1"/>
  <c r="BF27" i="1"/>
  <c r="BG27" i="1" s="1"/>
  <c r="BC27" i="1"/>
  <c r="BD27" i="1" s="1"/>
  <c r="BH26" i="1"/>
  <c r="AW27" i="1"/>
  <c r="AX27" i="1" s="1"/>
  <c r="AN27" i="1"/>
  <c r="AO27" i="1" s="1"/>
  <c r="AK27" i="1"/>
  <c r="AL27" i="1" s="1"/>
  <c r="AA26" i="1"/>
  <c r="X26" i="1"/>
  <c r="AJ26" i="1"/>
  <c r="AD26" i="1"/>
  <c r="U26" i="1"/>
  <c r="AB27" i="1"/>
  <c r="AC27" i="1" s="1"/>
  <c r="AH27" i="1"/>
  <c r="AI27" i="1" s="1"/>
  <c r="AF27" i="1"/>
  <c r="R26" i="1"/>
  <c r="L26" i="1"/>
  <c r="O26" i="1"/>
  <c r="S27" i="1"/>
  <c r="T27" i="1" s="1"/>
  <c r="Y27" i="1"/>
  <c r="Z27" i="1" s="1"/>
  <c r="V27" i="1"/>
  <c r="W27" i="1" s="1"/>
  <c r="P27" i="1"/>
  <c r="Q27" i="1" s="1"/>
  <c r="M27" i="1"/>
  <c r="N27" i="1" s="1"/>
  <c r="J27" i="1"/>
  <c r="K27" i="1" s="1"/>
  <c r="I26" i="1"/>
  <c r="F27" i="1"/>
  <c r="E28" i="1"/>
  <c r="A28" i="1"/>
  <c r="CE27" i="1" l="1"/>
  <c r="CB27" i="1"/>
  <c r="BY27" i="1"/>
  <c r="BV27" i="1"/>
  <c r="BS27" i="1"/>
  <c r="BP27" i="1"/>
  <c r="G27" i="1"/>
  <c r="H27" i="1" s="1"/>
  <c r="BW27" i="1" s="1"/>
  <c r="C29" i="1"/>
  <c r="A29" i="1" s="1"/>
  <c r="B29" i="1" s="1"/>
  <c r="B28" i="1"/>
  <c r="AE29" i="1" l="1"/>
  <c r="BU29" i="1"/>
  <c r="BR29" i="1"/>
  <c r="AQ29" i="1"/>
  <c r="AR29" i="1" s="1"/>
  <c r="AE28" i="1"/>
  <c r="BR28" i="1"/>
  <c r="BU28" i="1"/>
  <c r="AQ28" i="1"/>
  <c r="AR28" i="1" s="1"/>
  <c r="BN27" i="1"/>
  <c r="AS27" i="1"/>
  <c r="BT27" i="1"/>
  <c r="AG27" i="1"/>
  <c r="CF27" i="1"/>
  <c r="BQ27" i="1"/>
  <c r="CA28" i="1"/>
  <c r="CD28" i="1"/>
  <c r="BO28" i="1"/>
  <c r="BL28" i="1"/>
  <c r="BX28" i="1"/>
  <c r="CD29" i="1"/>
  <c r="BO29" i="1"/>
  <c r="BL29" i="1"/>
  <c r="BX29" i="1"/>
  <c r="CA29" i="1"/>
  <c r="CC27" i="1"/>
  <c r="BZ27" i="1"/>
  <c r="AZ29" i="1"/>
  <c r="BA29" i="1" s="1"/>
  <c r="BF29" i="1"/>
  <c r="BG29" i="1" s="1"/>
  <c r="BC29" i="1"/>
  <c r="BD29" i="1" s="1"/>
  <c r="BI29" i="1"/>
  <c r="BJ29" i="1" s="1"/>
  <c r="AT29" i="1"/>
  <c r="AU29" i="1" s="1"/>
  <c r="O27" i="1"/>
  <c r="BM27" i="1"/>
  <c r="BK27" i="1"/>
  <c r="AY27" i="1"/>
  <c r="BB27" i="1"/>
  <c r="AP27" i="1"/>
  <c r="AM27" i="1"/>
  <c r="AV27" i="1"/>
  <c r="BH27" i="1"/>
  <c r="AT28" i="1"/>
  <c r="AU28" i="1" s="1"/>
  <c r="AZ28" i="1"/>
  <c r="BA28" i="1" s="1"/>
  <c r="BF28" i="1"/>
  <c r="BG28" i="1" s="1"/>
  <c r="BC28" i="1"/>
  <c r="BD28" i="1" s="1"/>
  <c r="BI28" i="1"/>
  <c r="BJ28" i="1" s="1"/>
  <c r="BE27" i="1"/>
  <c r="AW28" i="1"/>
  <c r="AX28" i="1" s="1"/>
  <c r="AN28" i="1"/>
  <c r="AO28" i="1" s="1"/>
  <c r="AK28" i="1"/>
  <c r="AL28" i="1" s="1"/>
  <c r="AW29" i="1"/>
  <c r="AX29" i="1" s="1"/>
  <c r="AN29" i="1"/>
  <c r="AO29" i="1" s="1"/>
  <c r="AK29" i="1"/>
  <c r="AL29" i="1" s="1"/>
  <c r="AF29" i="1"/>
  <c r="AB29" i="1"/>
  <c r="AC29" i="1" s="1"/>
  <c r="AH29" i="1"/>
  <c r="AI29" i="1" s="1"/>
  <c r="AD27" i="1"/>
  <c r="AJ27" i="1"/>
  <c r="X27" i="1"/>
  <c r="AA27" i="1"/>
  <c r="R27" i="1"/>
  <c r="AB28" i="1"/>
  <c r="AC28" i="1" s="1"/>
  <c r="AH28" i="1"/>
  <c r="AI28" i="1" s="1"/>
  <c r="AF28" i="1"/>
  <c r="U27" i="1"/>
  <c r="L27" i="1"/>
  <c r="Y29" i="1"/>
  <c r="Z29" i="1" s="1"/>
  <c r="M29" i="1"/>
  <c r="N29" i="1" s="1"/>
  <c r="J29" i="1"/>
  <c r="K29" i="1" s="1"/>
  <c r="V29" i="1"/>
  <c r="W29" i="1" s="1"/>
  <c r="P29" i="1"/>
  <c r="Q29" i="1" s="1"/>
  <c r="S29" i="1"/>
  <c r="T29" i="1" s="1"/>
  <c r="S28" i="1"/>
  <c r="T28" i="1" s="1"/>
  <c r="M28" i="1"/>
  <c r="N28" i="1" s="1"/>
  <c r="J28" i="1"/>
  <c r="K28" i="1" s="1"/>
  <c r="V28" i="1"/>
  <c r="W28" i="1" s="1"/>
  <c r="Y28" i="1"/>
  <c r="Z28" i="1" s="1"/>
  <c r="P28" i="1"/>
  <c r="Q28" i="1" s="1"/>
  <c r="I27" i="1"/>
  <c r="F28" i="1"/>
  <c r="C30" i="1"/>
  <c r="A30" i="1" s="1"/>
  <c r="E29" i="1"/>
  <c r="D29" i="1"/>
  <c r="CE29" i="1" l="1"/>
  <c r="CE28" i="1"/>
  <c r="CB28" i="1"/>
  <c r="BY28" i="1"/>
  <c r="BP29" i="1"/>
  <c r="BV29" i="1"/>
  <c r="BS29" i="1"/>
  <c r="BV28" i="1"/>
  <c r="BS28" i="1"/>
  <c r="BP28" i="1"/>
  <c r="CB29" i="1"/>
  <c r="BY29" i="1"/>
  <c r="G28" i="1"/>
  <c r="H28" i="1" s="1"/>
  <c r="D30" i="1"/>
  <c r="B30" i="1"/>
  <c r="C31" i="1"/>
  <c r="A31" i="1" s="1"/>
  <c r="F29" i="1"/>
  <c r="E30" i="1"/>
  <c r="AE30" i="1" l="1"/>
  <c r="BU30" i="1"/>
  <c r="BR30" i="1"/>
  <c r="AQ30" i="1"/>
  <c r="AR30" i="1" s="1"/>
  <c r="BZ28" i="1"/>
  <c r="BW28" i="1"/>
  <c r="AS28" i="1"/>
  <c r="BT28" i="1"/>
  <c r="AG28" i="1"/>
  <c r="BK28" i="1"/>
  <c r="AM28" i="1"/>
  <c r="CC28" i="1"/>
  <c r="AP28" i="1"/>
  <c r="BE28" i="1"/>
  <c r="CF28" i="1"/>
  <c r="BQ28" i="1"/>
  <c r="BN28" i="1"/>
  <c r="BH28" i="1"/>
  <c r="BL30" i="1"/>
  <c r="BX30" i="1"/>
  <c r="CA30" i="1"/>
  <c r="CD30" i="1"/>
  <c r="BO30" i="1"/>
  <c r="BF30" i="1"/>
  <c r="BG30" i="1" s="1"/>
  <c r="BC30" i="1"/>
  <c r="BD30" i="1" s="1"/>
  <c r="BI30" i="1"/>
  <c r="BJ30" i="1" s="1"/>
  <c r="AT30" i="1"/>
  <c r="AU30" i="1" s="1"/>
  <c r="AZ30" i="1"/>
  <c r="BA30" i="1" s="1"/>
  <c r="O28" i="1"/>
  <c r="BM28" i="1"/>
  <c r="AY28" i="1"/>
  <c r="BB28" i="1"/>
  <c r="AV28" i="1"/>
  <c r="AN30" i="1"/>
  <c r="AK30" i="1"/>
  <c r="AL30" i="1" s="1"/>
  <c r="AW30" i="1"/>
  <c r="AX30" i="1" s="1"/>
  <c r="R28" i="1"/>
  <c r="AD28" i="1"/>
  <c r="U28" i="1"/>
  <c r="L28" i="1"/>
  <c r="AA28" i="1"/>
  <c r="AO30" i="1"/>
  <c r="AF30" i="1"/>
  <c r="AB30" i="1"/>
  <c r="AC30" i="1" s="1"/>
  <c r="AH30" i="1"/>
  <c r="AI30" i="1" s="1"/>
  <c r="AJ28" i="1"/>
  <c r="X28" i="1"/>
  <c r="Y30" i="1"/>
  <c r="Z30" i="1" s="1"/>
  <c r="S30" i="1"/>
  <c r="T30" i="1" s="1"/>
  <c r="P30" i="1"/>
  <c r="Q30" i="1" s="1"/>
  <c r="V30" i="1"/>
  <c r="W30" i="1" s="1"/>
  <c r="J30" i="1"/>
  <c r="K30" i="1" s="1"/>
  <c r="M30" i="1"/>
  <c r="N30" i="1" s="1"/>
  <c r="I28" i="1"/>
  <c r="G29" i="1"/>
  <c r="H29" i="1" s="1"/>
  <c r="BM29" i="1" s="1"/>
  <c r="E31" i="1"/>
  <c r="D31" i="1"/>
  <c r="C32" i="1"/>
  <c r="A32" i="1" s="1"/>
  <c r="B31" i="1"/>
  <c r="F30" i="1"/>
  <c r="AE31" i="1" l="1"/>
  <c r="BU31" i="1"/>
  <c r="BR31" i="1"/>
  <c r="AQ31" i="1"/>
  <c r="AR31" i="1" s="1"/>
  <c r="BT29" i="1"/>
  <c r="AS29" i="1"/>
  <c r="BW29" i="1"/>
  <c r="AG29" i="1"/>
  <c r="CE30" i="1"/>
  <c r="AV29" i="1"/>
  <c r="BX31" i="1"/>
  <c r="CA31" i="1"/>
  <c r="BL31" i="1"/>
  <c r="CD31" i="1"/>
  <c r="BO31" i="1"/>
  <c r="BN29" i="1"/>
  <c r="BZ29" i="1"/>
  <c r="AM29" i="1"/>
  <c r="BQ29" i="1"/>
  <c r="CF29" i="1"/>
  <c r="CC29" i="1"/>
  <c r="BB29" i="1"/>
  <c r="AP29" i="1"/>
  <c r="BV30" i="1"/>
  <c r="BP30" i="1"/>
  <c r="BS30" i="1"/>
  <c r="BH29" i="1"/>
  <c r="BY30" i="1"/>
  <c r="CB30" i="1"/>
  <c r="BI31" i="1"/>
  <c r="BJ31" i="1" s="1"/>
  <c r="AT31" i="1"/>
  <c r="AU31" i="1" s="1"/>
  <c r="AZ31" i="1"/>
  <c r="BA31" i="1" s="1"/>
  <c r="BF31" i="1"/>
  <c r="BG31" i="1" s="1"/>
  <c r="BC31" i="1"/>
  <c r="BD31" i="1" s="1"/>
  <c r="AY29" i="1"/>
  <c r="BK29" i="1"/>
  <c r="BE29" i="1"/>
  <c r="AK31" i="1"/>
  <c r="AL31" i="1" s="1"/>
  <c r="AW31" i="1"/>
  <c r="AX31" i="1" s="1"/>
  <c r="AN31" i="1"/>
  <c r="AO31" i="1" s="1"/>
  <c r="L29" i="1"/>
  <c r="AA29" i="1"/>
  <c r="X29" i="1"/>
  <c r="AD29" i="1"/>
  <c r="R29" i="1"/>
  <c r="AJ29" i="1"/>
  <c r="U29" i="1"/>
  <c r="AH31" i="1"/>
  <c r="AI31" i="1" s="1"/>
  <c r="AF31" i="1"/>
  <c r="AB31" i="1"/>
  <c r="AC31" i="1" s="1"/>
  <c r="O29" i="1"/>
  <c r="P31" i="1"/>
  <c r="Q31" i="1" s="1"/>
  <c r="S31" i="1"/>
  <c r="T31" i="1" s="1"/>
  <c r="V31" i="1"/>
  <c r="W31" i="1" s="1"/>
  <c r="Y31" i="1"/>
  <c r="Z31" i="1" s="1"/>
  <c r="M31" i="1"/>
  <c r="N31" i="1" s="1"/>
  <c r="J31" i="1"/>
  <c r="K31" i="1" s="1"/>
  <c r="G30" i="1"/>
  <c r="H30" i="1" s="1"/>
  <c r="BM30" i="1" s="1"/>
  <c r="D32" i="1"/>
  <c r="I29" i="1"/>
  <c r="F31" i="1"/>
  <c r="B32" i="1"/>
  <c r="C33" i="1"/>
  <c r="E32" i="1"/>
  <c r="AE32" i="1" l="1"/>
  <c r="BR32" i="1"/>
  <c r="AQ32" i="1"/>
  <c r="AR32" i="1" s="1"/>
  <c r="BU32" i="1"/>
  <c r="BW30" i="1"/>
  <c r="AS30" i="1"/>
  <c r="BT30" i="1"/>
  <c r="AG30" i="1"/>
  <c r="CF30" i="1"/>
  <c r="BN30" i="1"/>
  <c r="BZ30" i="1"/>
  <c r="CA32" i="1"/>
  <c r="CD32" i="1"/>
  <c r="BO32" i="1"/>
  <c r="BL32" i="1"/>
  <c r="BX32" i="1"/>
  <c r="BQ30" i="1"/>
  <c r="CE31" i="1"/>
  <c r="CC30" i="1"/>
  <c r="AT32" i="1"/>
  <c r="AU32" i="1" s="1"/>
  <c r="AZ32" i="1"/>
  <c r="BA32" i="1" s="1"/>
  <c r="BF32" i="1"/>
  <c r="BG32" i="1" s="1"/>
  <c r="BC32" i="1"/>
  <c r="BD32" i="1" s="1"/>
  <c r="BI32" i="1"/>
  <c r="BJ32" i="1" s="1"/>
  <c r="BK30" i="1"/>
  <c r="AY30" i="1"/>
  <c r="AV30" i="1"/>
  <c r="BP31" i="1"/>
  <c r="BV31" i="1"/>
  <c r="BS31" i="1"/>
  <c r="AP30" i="1"/>
  <c r="BY31" i="1"/>
  <c r="CB31" i="1"/>
  <c r="BE30" i="1"/>
  <c r="BH30" i="1"/>
  <c r="AM30" i="1"/>
  <c r="BB30" i="1"/>
  <c r="L30" i="1"/>
  <c r="AW32" i="1"/>
  <c r="AX32" i="1" s="1"/>
  <c r="AN32" i="1"/>
  <c r="AO32" i="1" s="1"/>
  <c r="AK32" i="1"/>
  <c r="AL32" i="1" s="1"/>
  <c r="AD30" i="1"/>
  <c r="O30" i="1"/>
  <c r="U30" i="1"/>
  <c r="X30" i="1"/>
  <c r="AJ30" i="1"/>
  <c r="AA30" i="1"/>
  <c r="AB32" i="1"/>
  <c r="AC32" i="1" s="1"/>
  <c r="AH32" i="1"/>
  <c r="AI32" i="1" s="1"/>
  <c r="AF32" i="1"/>
  <c r="R30" i="1"/>
  <c r="Y32" i="1"/>
  <c r="Z32" i="1" s="1"/>
  <c r="S32" i="1"/>
  <c r="T32" i="1" s="1"/>
  <c r="P32" i="1"/>
  <c r="Q32" i="1" s="1"/>
  <c r="M32" i="1"/>
  <c r="N32" i="1" s="1"/>
  <c r="J32" i="1"/>
  <c r="K32" i="1" s="1"/>
  <c r="V32" i="1"/>
  <c r="W32" i="1" s="1"/>
  <c r="G31" i="1"/>
  <c r="H31" i="1" s="1"/>
  <c r="CF31" i="1" s="1"/>
  <c r="D33" i="1"/>
  <c r="E33" i="1"/>
  <c r="I30" i="1"/>
  <c r="A33" i="1"/>
  <c r="F32" i="1"/>
  <c r="BT31" i="1" l="1"/>
  <c r="AS31" i="1"/>
  <c r="BW31" i="1"/>
  <c r="AG31" i="1"/>
  <c r="CE32" i="1"/>
  <c r="BB31" i="1"/>
  <c r="BN31" i="1"/>
  <c r="AM31" i="1"/>
  <c r="BQ31" i="1"/>
  <c r="BZ31" i="1"/>
  <c r="AV31" i="1"/>
  <c r="CC31" i="1"/>
  <c r="BK31" i="1"/>
  <c r="BS32" i="1"/>
  <c r="BP32" i="1"/>
  <c r="BV32" i="1"/>
  <c r="L31" i="1"/>
  <c r="BM31" i="1"/>
  <c r="BY32" i="1"/>
  <c r="CB32" i="1"/>
  <c r="BH31" i="1"/>
  <c r="AP31" i="1"/>
  <c r="BE31" i="1"/>
  <c r="AY31" i="1"/>
  <c r="R31" i="1"/>
  <c r="X31" i="1"/>
  <c r="AA31" i="1"/>
  <c r="AJ31" i="1"/>
  <c r="U31" i="1"/>
  <c r="AD31" i="1"/>
  <c r="O31" i="1"/>
  <c r="G32" i="1"/>
  <c r="H32" i="1" s="1"/>
  <c r="I31" i="1"/>
  <c r="C34" i="1"/>
  <c r="B33" i="1"/>
  <c r="AE33" i="1" l="1"/>
  <c r="BU33" i="1"/>
  <c r="BR33" i="1"/>
  <c r="AQ33" i="1"/>
  <c r="AR33" i="1" s="1"/>
  <c r="BT32" i="1"/>
  <c r="BW32" i="1"/>
  <c r="AS32" i="1"/>
  <c r="AG32" i="1"/>
  <c r="BN32" i="1"/>
  <c r="AM32" i="1"/>
  <c r="BZ32" i="1"/>
  <c r="BQ32" i="1"/>
  <c r="CD33" i="1"/>
  <c r="BO33" i="1"/>
  <c r="BL33" i="1"/>
  <c r="BX33" i="1"/>
  <c r="CA33" i="1"/>
  <c r="CC32" i="1"/>
  <c r="CF32" i="1"/>
  <c r="BE32" i="1"/>
  <c r="AP32" i="1"/>
  <c r="L32" i="1"/>
  <c r="BM32" i="1"/>
  <c r="AZ33" i="1"/>
  <c r="BA33" i="1" s="1"/>
  <c r="BF33" i="1"/>
  <c r="BG33" i="1" s="1"/>
  <c r="BC33" i="1"/>
  <c r="BD33" i="1" s="1"/>
  <c r="BI33" i="1"/>
  <c r="BJ33" i="1" s="1"/>
  <c r="AT33" i="1"/>
  <c r="AU33" i="1" s="1"/>
  <c r="AY32" i="1"/>
  <c r="BH32" i="1"/>
  <c r="AV32" i="1"/>
  <c r="BB32" i="1"/>
  <c r="BK32" i="1"/>
  <c r="AW33" i="1"/>
  <c r="AX33" i="1" s="1"/>
  <c r="AN33" i="1"/>
  <c r="AO33" i="1" s="1"/>
  <c r="AK33" i="1"/>
  <c r="AL33" i="1" s="1"/>
  <c r="O32" i="1"/>
  <c r="AA32" i="1"/>
  <c r="X32" i="1"/>
  <c r="U32" i="1"/>
  <c r="R32" i="1"/>
  <c r="AH33" i="1"/>
  <c r="AI33" i="1" s="1"/>
  <c r="AB33" i="1"/>
  <c r="AC33" i="1" s="1"/>
  <c r="AF33" i="1"/>
  <c r="AD32" i="1"/>
  <c r="AJ32" i="1"/>
  <c r="M33" i="1"/>
  <c r="N33" i="1" s="1"/>
  <c r="J33" i="1"/>
  <c r="K33" i="1" s="1"/>
  <c r="V33" i="1"/>
  <c r="W33" i="1" s="1"/>
  <c r="Y33" i="1"/>
  <c r="Z33" i="1" s="1"/>
  <c r="S33" i="1"/>
  <c r="T33" i="1" s="1"/>
  <c r="P33" i="1"/>
  <c r="Q33" i="1" s="1"/>
  <c r="F33" i="1"/>
  <c r="I32" i="1"/>
  <c r="D34" i="1"/>
  <c r="E34" i="1"/>
  <c r="A34" i="1"/>
  <c r="CE33" i="1" l="1"/>
  <c r="CB33" i="1"/>
  <c r="BY33" i="1"/>
  <c r="BS33" i="1"/>
  <c r="BP33" i="1"/>
  <c r="BV33" i="1"/>
  <c r="G33" i="1"/>
  <c r="H33" i="1" s="1"/>
  <c r="BW33" i="1" s="1"/>
  <c r="C35" i="1"/>
  <c r="D35" i="1" s="1"/>
  <c r="B34" i="1"/>
  <c r="AE34" i="1" l="1"/>
  <c r="BU34" i="1"/>
  <c r="BR34" i="1"/>
  <c r="AQ34" i="1"/>
  <c r="AR34" i="1" s="1"/>
  <c r="BN33" i="1"/>
  <c r="BT33" i="1"/>
  <c r="AS33" i="1"/>
  <c r="AG33" i="1"/>
  <c r="BQ33" i="1"/>
  <c r="CC33" i="1"/>
  <c r="BL34" i="1"/>
  <c r="BX34" i="1"/>
  <c r="CA34" i="1"/>
  <c r="BO34" i="1"/>
  <c r="CD34" i="1"/>
  <c r="BZ33" i="1"/>
  <c r="CF33" i="1"/>
  <c r="AD33" i="1"/>
  <c r="BM33" i="1"/>
  <c r="AM33" i="1"/>
  <c r="BE33" i="1"/>
  <c r="AP33" i="1"/>
  <c r="BF34" i="1"/>
  <c r="BG34" i="1" s="1"/>
  <c r="BC34" i="1"/>
  <c r="BD34" i="1" s="1"/>
  <c r="BI34" i="1"/>
  <c r="BJ34" i="1" s="1"/>
  <c r="AT34" i="1"/>
  <c r="AU34" i="1" s="1"/>
  <c r="AZ34" i="1"/>
  <c r="BA34" i="1" s="1"/>
  <c r="BH33" i="1"/>
  <c r="AV33" i="1"/>
  <c r="AY33" i="1"/>
  <c r="BK33" i="1"/>
  <c r="BB33" i="1"/>
  <c r="AW34" i="1"/>
  <c r="AX34" i="1" s="1"/>
  <c r="AN34" i="1"/>
  <c r="AO34" i="1" s="1"/>
  <c r="AK34" i="1"/>
  <c r="AL34" i="1" s="1"/>
  <c r="X33" i="1"/>
  <c r="R33" i="1"/>
  <c r="AJ33" i="1"/>
  <c r="AF34" i="1"/>
  <c r="AH34" i="1"/>
  <c r="AI34" i="1" s="1"/>
  <c r="AB34" i="1"/>
  <c r="AC34" i="1" s="1"/>
  <c r="U33" i="1"/>
  <c r="L33" i="1"/>
  <c r="O33" i="1"/>
  <c r="AA33" i="1"/>
  <c r="Y34" i="1"/>
  <c r="Z34" i="1" s="1"/>
  <c r="S34" i="1"/>
  <c r="T34" i="1" s="1"/>
  <c r="V34" i="1"/>
  <c r="W34" i="1" s="1"/>
  <c r="P34" i="1"/>
  <c r="Q34" i="1" s="1"/>
  <c r="M34" i="1"/>
  <c r="N34" i="1" s="1"/>
  <c r="J34" i="1"/>
  <c r="K34" i="1" s="1"/>
  <c r="I33" i="1"/>
  <c r="F34" i="1"/>
  <c r="E35" i="1"/>
  <c r="A35" i="1"/>
  <c r="C36" i="1" s="1"/>
  <c r="D36" i="1" s="1"/>
  <c r="CE34" i="1" l="1"/>
  <c r="BS34" i="1"/>
  <c r="BV34" i="1"/>
  <c r="BP34" i="1"/>
  <c r="CB34" i="1"/>
  <c r="BY34" i="1"/>
  <c r="G34" i="1"/>
  <c r="H34" i="1" s="1"/>
  <c r="B35" i="1"/>
  <c r="E36" i="1"/>
  <c r="A36" i="1"/>
  <c r="B36" i="1" s="1"/>
  <c r="AE36" i="1" l="1"/>
  <c r="BU36" i="1"/>
  <c r="AQ36" i="1"/>
  <c r="AR36" i="1" s="1"/>
  <c r="BR36" i="1"/>
  <c r="AE35" i="1"/>
  <c r="BU35" i="1"/>
  <c r="BR35" i="1"/>
  <c r="AQ35" i="1"/>
  <c r="AR35" i="1" s="1"/>
  <c r="CF34" i="1"/>
  <c r="BW34" i="1"/>
  <c r="BT34" i="1"/>
  <c r="AS34" i="1"/>
  <c r="AG34" i="1"/>
  <c r="CA36" i="1"/>
  <c r="CD36" i="1"/>
  <c r="BO36" i="1"/>
  <c r="BL36" i="1"/>
  <c r="BX36" i="1"/>
  <c r="BN34" i="1"/>
  <c r="CC34" i="1"/>
  <c r="AP34" i="1"/>
  <c r="BH34" i="1"/>
  <c r="AV34" i="1"/>
  <c r="AY34" i="1"/>
  <c r="BK34" i="1"/>
  <c r="BQ34" i="1"/>
  <c r="BX35" i="1"/>
  <c r="CA35" i="1"/>
  <c r="CD35" i="1"/>
  <c r="BO35" i="1"/>
  <c r="BL35" i="1"/>
  <c r="BB34" i="1"/>
  <c r="BZ34" i="1"/>
  <c r="AT36" i="1"/>
  <c r="AU36" i="1" s="1"/>
  <c r="AZ36" i="1"/>
  <c r="BA36" i="1" s="1"/>
  <c r="BF36" i="1"/>
  <c r="BC36" i="1"/>
  <c r="BD36" i="1" s="1"/>
  <c r="BI36" i="1"/>
  <c r="BJ36" i="1" s="1"/>
  <c r="BI35" i="1"/>
  <c r="BJ35" i="1" s="1"/>
  <c r="AT35" i="1"/>
  <c r="AU35" i="1" s="1"/>
  <c r="AZ35" i="1"/>
  <c r="BA35" i="1" s="1"/>
  <c r="BF35" i="1"/>
  <c r="BG35" i="1" s="1"/>
  <c r="BC35" i="1"/>
  <c r="BM34" i="1"/>
  <c r="BE34" i="1"/>
  <c r="AM34" i="1"/>
  <c r="AW36" i="1"/>
  <c r="AN36" i="1"/>
  <c r="AO36" i="1" s="1"/>
  <c r="AK36" i="1"/>
  <c r="AL36" i="1" s="1"/>
  <c r="AW35" i="1"/>
  <c r="AX35" i="1" s="1"/>
  <c r="AN35" i="1"/>
  <c r="AO35" i="1" s="1"/>
  <c r="AK35" i="1"/>
  <c r="AL35" i="1" s="1"/>
  <c r="U34" i="1"/>
  <c r="AA34" i="1"/>
  <c r="AX36" i="1"/>
  <c r="AH36" i="1"/>
  <c r="AI36" i="1" s="1"/>
  <c r="AF36" i="1"/>
  <c r="AB36" i="1"/>
  <c r="AC36" i="1" s="1"/>
  <c r="AH35" i="1"/>
  <c r="AI35" i="1" s="1"/>
  <c r="AB35" i="1"/>
  <c r="AC35" i="1" s="1"/>
  <c r="AF35" i="1"/>
  <c r="L34" i="1"/>
  <c r="AD34" i="1"/>
  <c r="R34" i="1"/>
  <c r="AJ34" i="1"/>
  <c r="X34" i="1"/>
  <c r="O34" i="1"/>
  <c r="V36" i="1"/>
  <c r="W36" i="1" s="1"/>
  <c r="P36" i="1"/>
  <c r="Q36" i="1" s="1"/>
  <c r="S36" i="1"/>
  <c r="T36" i="1" s="1"/>
  <c r="M36" i="1"/>
  <c r="N36" i="1" s="1"/>
  <c r="J36" i="1"/>
  <c r="K36" i="1" s="1"/>
  <c r="Y36" i="1"/>
  <c r="Z36" i="1" s="1"/>
  <c r="CE36" i="1" s="1"/>
  <c r="P35" i="1"/>
  <c r="Q35" i="1" s="1"/>
  <c r="Y35" i="1"/>
  <c r="Z35" i="1" s="1"/>
  <c r="S35" i="1"/>
  <c r="T35" i="1" s="1"/>
  <c r="M35" i="1"/>
  <c r="N35" i="1" s="1"/>
  <c r="J35" i="1"/>
  <c r="K35" i="1" s="1"/>
  <c r="V35" i="1"/>
  <c r="W35" i="1" s="1"/>
  <c r="I34" i="1"/>
  <c r="BG36" i="1"/>
  <c r="BD35" i="1"/>
  <c r="F35" i="1"/>
  <c r="F36" i="1"/>
  <c r="C37" i="1"/>
  <c r="D37" i="1" s="1"/>
  <c r="CE35" i="1" l="1"/>
  <c r="BV35" i="1"/>
  <c r="BS35" i="1"/>
  <c r="BP35" i="1"/>
  <c r="BV36" i="1"/>
  <c r="BS36" i="1"/>
  <c r="BP36" i="1"/>
  <c r="CB35" i="1"/>
  <c r="BY35" i="1"/>
  <c r="CB36" i="1"/>
  <c r="BY36" i="1"/>
  <c r="G35" i="1"/>
  <c r="H35" i="1" s="1"/>
  <c r="CF35" i="1" s="1"/>
  <c r="E37" i="1"/>
  <c r="A37" i="1"/>
  <c r="C38" i="1" s="1"/>
  <c r="D38" i="1" s="1"/>
  <c r="AS35" i="1" l="1"/>
  <c r="BW35" i="1"/>
  <c r="AG35" i="1"/>
  <c r="BT35" i="1"/>
  <c r="CC35" i="1"/>
  <c r="BQ35" i="1"/>
  <c r="BN35" i="1"/>
  <c r="BZ35" i="1"/>
  <c r="L35" i="1"/>
  <c r="BM35" i="1"/>
  <c r="AV35" i="1"/>
  <c r="BH35" i="1"/>
  <c r="AP35" i="1"/>
  <c r="AY35" i="1"/>
  <c r="BB35" i="1"/>
  <c r="BK35" i="1"/>
  <c r="BE35" i="1"/>
  <c r="AM35" i="1"/>
  <c r="R35" i="1"/>
  <c r="X35" i="1"/>
  <c r="U35" i="1"/>
  <c r="AA35" i="1"/>
  <c r="O35" i="1"/>
  <c r="AJ35" i="1"/>
  <c r="AD35" i="1"/>
  <c r="G36" i="1"/>
  <c r="H36" i="1" s="1"/>
  <c r="BM36" i="1" s="1"/>
  <c r="I35" i="1"/>
  <c r="A38" i="1"/>
  <c r="C39" i="1" s="1"/>
  <c r="D39" i="1" s="1"/>
  <c r="E38" i="1"/>
  <c r="B37" i="1"/>
  <c r="AE37" i="1" l="1"/>
  <c r="BU37" i="1"/>
  <c r="BR37" i="1"/>
  <c r="AQ37" i="1"/>
  <c r="AR37" i="1" s="1"/>
  <c r="BT36" i="1"/>
  <c r="AS36" i="1"/>
  <c r="BW36" i="1"/>
  <c r="AG36" i="1"/>
  <c r="AM36" i="1"/>
  <c r="AY36" i="1"/>
  <c r="BQ36" i="1"/>
  <c r="BE36" i="1"/>
  <c r="BK36" i="1"/>
  <c r="BH36" i="1"/>
  <c r="BZ36" i="1"/>
  <c r="CC36" i="1"/>
  <c r="CD37" i="1"/>
  <c r="BO37" i="1"/>
  <c r="BL37" i="1"/>
  <c r="BX37" i="1"/>
  <c r="CA37" i="1"/>
  <c r="BB36" i="1"/>
  <c r="AV36" i="1"/>
  <c r="BN36" i="1"/>
  <c r="CF36" i="1"/>
  <c r="AZ37" i="1"/>
  <c r="BA37" i="1" s="1"/>
  <c r="BF37" i="1"/>
  <c r="BG37" i="1" s="1"/>
  <c r="BC37" i="1"/>
  <c r="BD37" i="1" s="1"/>
  <c r="BI37" i="1"/>
  <c r="BJ37" i="1" s="1"/>
  <c r="AT37" i="1"/>
  <c r="AU37" i="1" s="1"/>
  <c r="AP36" i="1"/>
  <c r="AW37" i="1"/>
  <c r="AX37" i="1" s="1"/>
  <c r="AN37" i="1"/>
  <c r="AO37" i="1" s="1"/>
  <c r="AK37" i="1"/>
  <c r="AL37" i="1" s="1"/>
  <c r="L36" i="1"/>
  <c r="AD36" i="1"/>
  <c r="AA36" i="1"/>
  <c r="X36" i="1"/>
  <c r="AJ36" i="1"/>
  <c r="U36" i="1"/>
  <c r="R36" i="1"/>
  <c r="AF37" i="1"/>
  <c r="AH37" i="1"/>
  <c r="AI37" i="1" s="1"/>
  <c r="AB37" i="1"/>
  <c r="AC37" i="1" s="1"/>
  <c r="O36" i="1"/>
  <c r="M37" i="1"/>
  <c r="N37" i="1" s="1"/>
  <c r="J37" i="1"/>
  <c r="K37" i="1" s="1"/>
  <c r="Y37" i="1"/>
  <c r="Z37" i="1" s="1"/>
  <c r="CE37" i="1" s="1"/>
  <c r="V37" i="1"/>
  <c r="W37" i="1" s="1"/>
  <c r="S37" i="1"/>
  <c r="T37" i="1" s="1"/>
  <c r="P37" i="1"/>
  <c r="Q37" i="1" s="1"/>
  <c r="I36" i="1"/>
  <c r="A39" i="1"/>
  <c r="B39" i="1" s="1"/>
  <c r="F37" i="1"/>
  <c r="E39" i="1"/>
  <c r="B38" i="1"/>
  <c r="AE38" i="1" l="1"/>
  <c r="BU38" i="1"/>
  <c r="BR38" i="1"/>
  <c r="AQ38" i="1"/>
  <c r="AR38" i="1" s="1"/>
  <c r="AE39" i="1"/>
  <c r="BU39" i="1"/>
  <c r="BR39" i="1"/>
  <c r="AQ39" i="1"/>
  <c r="AR39" i="1" s="1"/>
  <c r="BL38" i="1"/>
  <c r="BX38" i="1"/>
  <c r="CA38" i="1"/>
  <c r="CD38" i="1"/>
  <c r="BO38" i="1"/>
  <c r="BX39" i="1"/>
  <c r="CA39" i="1"/>
  <c r="CD39" i="1"/>
  <c r="BO39" i="1"/>
  <c r="BL39" i="1"/>
  <c r="BF38" i="1"/>
  <c r="BC38" i="1"/>
  <c r="BD38" i="1" s="1"/>
  <c r="BI38" i="1"/>
  <c r="BJ38" i="1" s="1"/>
  <c r="AT38" i="1"/>
  <c r="AU38" i="1" s="1"/>
  <c r="AZ38" i="1"/>
  <c r="BI39" i="1"/>
  <c r="BJ39" i="1" s="1"/>
  <c r="AT39" i="1"/>
  <c r="AU39" i="1" s="1"/>
  <c r="AZ39" i="1"/>
  <c r="BA39" i="1" s="1"/>
  <c r="BF39" i="1"/>
  <c r="BG39" i="1" s="1"/>
  <c r="BC39" i="1"/>
  <c r="BD39" i="1" s="1"/>
  <c r="CB37" i="1"/>
  <c r="BY37" i="1"/>
  <c r="BP37" i="1"/>
  <c r="BV37" i="1"/>
  <c r="BS37" i="1"/>
  <c r="AK39" i="1"/>
  <c r="AL39" i="1" s="1"/>
  <c r="AW39" i="1"/>
  <c r="AX39" i="1" s="1"/>
  <c r="AN39" i="1"/>
  <c r="AO39" i="1" s="1"/>
  <c r="AN38" i="1"/>
  <c r="AO38" i="1" s="1"/>
  <c r="AW38" i="1"/>
  <c r="AX38" i="1" s="1"/>
  <c r="AK38" i="1"/>
  <c r="AL38" i="1" s="1"/>
  <c r="C40" i="1"/>
  <c r="D40" i="1" s="1"/>
  <c r="AH38" i="1"/>
  <c r="AI38" i="1" s="1"/>
  <c r="AB38" i="1"/>
  <c r="AC38" i="1" s="1"/>
  <c r="AF38" i="1"/>
  <c r="AH39" i="1"/>
  <c r="AI39" i="1" s="1"/>
  <c r="AB39" i="1"/>
  <c r="AC39" i="1" s="1"/>
  <c r="AF39" i="1"/>
  <c r="P38" i="1"/>
  <c r="Q38" i="1" s="1"/>
  <c r="V38" i="1"/>
  <c r="W38" i="1" s="1"/>
  <c r="S38" i="1"/>
  <c r="T38" i="1" s="1"/>
  <c r="Y38" i="1"/>
  <c r="Z38" i="1" s="1"/>
  <c r="J38" i="1"/>
  <c r="K38" i="1" s="1"/>
  <c r="M38" i="1"/>
  <c r="N38" i="1" s="1"/>
  <c r="Y39" i="1"/>
  <c r="Z39" i="1" s="1"/>
  <c r="V39" i="1"/>
  <c r="W39" i="1" s="1"/>
  <c r="S39" i="1"/>
  <c r="T39" i="1" s="1"/>
  <c r="P39" i="1"/>
  <c r="Q39" i="1" s="1"/>
  <c r="M39" i="1"/>
  <c r="N39" i="1" s="1"/>
  <c r="J39" i="1"/>
  <c r="K39" i="1" s="1"/>
  <c r="F39" i="1"/>
  <c r="BA38" i="1"/>
  <c r="BG38" i="1"/>
  <c r="G37" i="1"/>
  <c r="H37" i="1" s="1"/>
  <c r="F38" i="1"/>
  <c r="CE38" i="1" l="1"/>
  <c r="BZ37" i="1"/>
  <c r="BT37" i="1"/>
  <c r="AS37" i="1"/>
  <c r="BW37" i="1"/>
  <c r="AG37" i="1"/>
  <c r="A40" i="1"/>
  <c r="B40" i="1" s="1"/>
  <c r="E40" i="1"/>
  <c r="AP37" i="1"/>
  <c r="BQ37" i="1"/>
  <c r="CE39" i="1"/>
  <c r="CC37" i="1"/>
  <c r="BN37" i="1"/>
  <c r="CF37" i="1"/>
  <c r="BV38" i="1"/>
  <c r="BP38" i="1"/>
  <c r="BS38" i="1"/>
  <c r="BP39" i="1"/>
  <c r="BV39" i="1"/>
  <c r="BS39" i="1"/>
  <c r="BY38" i="1"/>
  <c r="CB38" i="1"/>
  <c r="BM37" i="1"/>
  <c r="BB37" i="1"/>
  <c r="BH37" i="1"/>
  <c r="BE37" i="1"/>
  <c r="AV37" i="1"/>
  <c r="BK37" i="1"/>
  <c r="AM37" i="1"/>
  <c r="AY37" i="1"/>
  <c r="BY39" i="1"/>
  <c r="CB39" i="1"/>
  <c r="AJ37" i="1"/>
  <c r="U37" i="1"/>
  <c r="L37" i="1"/>
  <c r="AA37" i="1"/>
  <c r="X37" i="1"/>
  <c r="AD37" i="1"/>
  <c r="R37" i="1"/>
  <c r="O37" i="1"/>
  <c r="I37" i="1"/>
  <c r="G38" i="1"/>
  <c r="C41" i="1"/>
  <c r="AE40" i="1" l="1"/>
  <c r="BU40" i="1"/>
  <c r="BR40" i="1"/>
  <c r="AQ40" i="1"/>
  <c r="AR40" i="1" s="1"/>
  <c r="CA40" i="1"/>
  <c r="CD40" i="1"/>
  <c r="BO40" i="1"/>
  <c r="BL40" i="1"/>
  <c r="BX40" i="1"/>
  <c r="AT40" i="1"/>
  <c r="AU40" i="1" s="1"/>
  <c r="AZ40" i="1"/>
  <c r="BA40" i="1" s="1"/>
  <c r="BF40" i="1"/>
  <c r="BG40" i="1" s="1"/>
  <c r="BC40" i="1"/>
  <c r="BD40" i="1" s="1"/>
  <c r="BI40" i="1"/>
  <c r="BJ40" i="1" s="1"/>
  <c r="AW40" i="1"/>
  <c r="AX40" i="1" s="1"/>
  <c r="AN40" i="1"/>
  <c r="AO40" i="1" s="1"/>
  <c r="AK40" i="1"/>
  <c r="AL40" i="1" s="1"/>
  <c r="AF40" i="1"/>
  <c r="AB40" i="1"/>
  <c r="AC40" i="1" s="1"/>
  <c r="AH40" i="1"/>
  <c r="AI40" i="1" s="1"/>
  <c r="P40" i="1"/>
  <c r="Q40" i="1" s="1"/>
  <c r="M40" i="1"/>
  <c r="N40" i="1" s="1"/>
  <c r="J40" i="1"/>
  <c r="K40" i="1" s="1"/>
  <c r="Y40" i="1"/>
  <c r="Z40" i="1" s="1"/>
  <c r="V40" i="1"/>
  <c r="W40" i="1" s="1"/>
  <c r="S40" i="1"/>
  <c r="T40" i="1" s="1"/>
  <c r="G39" i="1"/>
  <c r="H39" i="1" s="1"/>
  <c r="BM39" i="1" s="1"/>
  <c r="H38" i="1"/>
  <c r="BN38" i="1" s="1"/>
  <c r="F40" i="1"/>
  <c r="A41" i="1"/>
  <c r="D41" i="1"/>
  <c r="E41" i="1"/>
  <c r="BN39" i="1" l="1"/>
  <c r="BW38" i="1"/>
  <c r="BW39" i="1" s="1"/>
  <c r="BT38" i="1"/>
  <c r="BT39" i="1" s="1"/>
  <c r="AS38" i="1"/>
  <c r="AS39" i="1" s="1"/>
  <c r="CE40" i="1"/>
  <c r="AG38" i="1"/>
  <c r="AG39" i="1" s="1"/>
  <c r="BH38" i="1"/>
  <c r="BH39" i="1" s="1"/>
  <c r="AM38" i="1"/>
  <c r="AM39" i="1" s="1"/>
  <c r="D43" i="2" s="1"/>
  <c r="BZ38" i="1"/>
  <c r="BZ39" i="1" s="1"/>
  <c r="CF38" i="1"/>
  <c r="CF39" i="1" s="1"/>
  <c r="CC38" i="1"/>
  <c r="CC39" i="1" s="1"/>
  <c r="D52" i="2"/>
  <c r="BQ38" i="1"/>
  <c r="BQ39" i="1" s="1"/>
  <c r="BE38" i="1"/>
  <c r="BE39" i="1" s="1"/>
  <c r="BL42" i="1"/>
  <c r="CB40" i="1"/>
  <c r="BY40" i="1"/>
  <c r="BS40" i="1"/>
  <c r="BP40" i="1"/>
  <c r="BV40" i="1"/>
  <c r="BB38" i="1"/>
  <c r="BB39" i="1" s="1"/>
  <c r="BM38" i="1"/>
  <c r="AP38" i="1"/>
  <c r="AP39" i="1" s="1"/>
  <c r="AV38" i="1"/>
  <c r="AV39" i="1" s="1"/>
  <c r="D46" i="2" s="1"/>
  <c r="BK38" i="1"/>
  <c r="BK39" i="1" s="1"/>
  <c r="AY38" i="1"/>
  <c r="AY39" i="1" s="1"/>
  <c r="D47" i="2" s="1"/>
  <c r="AA38" i="1"/>
  <c r="AA39" i="1" s="1"/>
  <c r="X38" i="1"/>
  <c r="X39" i="1" s="1"/>
  <c r="AD38" i="1"/>
  <c r="AD39" i="1" s="1"/>
  <c r="O38" i="1"/>
  <c r="O39" i="1" s="1"/>
  <c r="D41" i="2"/>
  <c r="U38" i="1"/>
  <c r="U39" i="1" s="1"/>
  <c r="AJ38" i="1"/>
  <c r="AJ39" i="1" s="1"/>
  <c r="D42" i="2" s="1"/>
  <c r="L38" i="1"/>
  <c r="L39" i="1" s="1"/>
  <c r="R38" i="1"/>
  <c r="R39" i="1" s="1"/>
  <c r="I38" i="1"/>
  <c r="G40" i="1"/>
  <c r="H40" i="1" s="1"/>
  <c r="BM40" i="1" s="1"/>
  <c r="I39" i="1"/>
  <c r="B41" i="1"/>
  <c r="AE41" i="1" l="1"/>
  <c r="BU41" i="1"/>
  <c r="BR41" i="1"/>
  <c r="AQ41" i="1"/>
  <c r="AR41" i="1" s="1"/>
  <c r="F52" i="2"/>
  <c r="D50" i="2"/>
  <c r="D49" i="2"/>
  <c r="D51" i="2"/>
  <c r="D48" i="2"/>
  <c r="AS40" i="1"/>
  <c r="D45" i="2"/>
  <c r="AQ42" i="1"/>
  <c r="F45" i="2" s="1"/>
  <c r="BT40" i="1"/>
  <c r="BW40" i="1"/>
  <c r="D55" i="2"/>
  <c r="BU42" i="1"/>
  <c r="AG40" i="1"/>
  <c r="AV40" i="1"/>
  <c r="AP40" i="1"/>
  <c r="BQ40" i="1"/>
  <c r="D53" i="2"/>
  <c r="BO42" i="1"/>
  <c r="CF40" i="1"/>
  <c r="D58" i="2"/>
  <c r="CD42" i="1"/>
  <c r="BZ40" i="1"/>
  <c r="D56" i="2"/>
  <c r="BX42" i="1"/>
  <c r="CC40" i="1"/>
  <c r="D57" i="2"/>
  <c r="CA42" i="1"/>
  <c r="CD41" i="1"/>
  <c r="BO41" i="1"/>
  <c r="BL41" i="1"/>
  <c r="BX41" i="1"/>
  <c r="CA41" i="1"/>
  <c r="D54" i="2"/>
  <c r="BR42" i="1"/>
  <c r="BN40" i="1"/>
  <c r="AT42" i="1"/>
  <c r="F46" i="2" s="1"/>
  <c r="AY40" i="1"/>
  <c r="BB40" i="1"/>
  <c r="BH40" i="1"/>
  <c r="AZ41" i="1"/>
  <c r="BA41" i="1" s="1"/>
  <c r="BF41" i="1"/>
  <c r="BG41" i="1" s="1"/>
  <c r="BC41" i="1"/>
  <c r="BD41" i="1" s="1"/>
  <c r="BI41" i="1"/>
  <c r="BJ41" i="1" s="1"/>
  <c r="AT41" i="1"/>
  <c r="AU41" i="1" s="1"/>
  <c r="D44" i="2"/>
  <c r="BK40" i="1"/>
  <c r="BI42" i="1"/>
  <c r="BE40" i="1"/>
  <c r="AM40" i="1"/>
  <c r="AW41" i="1"/>
  <c r="AX41" i="1" s="1"/>
  <c r="AN41" i="1"/>
  <c r="AO41" i="1" s="1"/>
  <c r="AK41" i="1"/>
  <c r="AL41" i="1" s="1"/>
  <c r="L40" i="1"/>
  <c r="R40" i="1"/>
  <c r="O40" i="1"/>
  <c r="X40" i="1"/>
  <c r="U40" i="1"/>
  <c r="AD40" i="1"/>
  <c r="AJ40" i="1"/>
  <c r="AH42" i="1"/>
  <c r="F42" i="2" s="1"/>
  <c r="AN42" i="1"/>
  <c r="F44" i="2" s="1"/>
  <c r="AE42" i="1"/>
  <c r="F41" i="2" s="1"/>
  <c r="AH41" i="1"/>
  <c r="AI41" i="1" s="1"/>
  <c r="AF41" i="1"/>
  <c r="AB41" i="1"/>
  <c r="AC41" i="1" s="1"/>
  <c r="AW42" i="1"/>
  <c r="F47" i="2" s="1"/>
  <c r="AK42" i="1"/>
  <c r="F43" i="2" s="1"/>
  <c r="AA40" i="1"/>
  <c r="P41" i="1"/>
  <c r="Q41" i="1" s="1"/>
  <c r="M41" i="1"/>
  <c r="N41" i="1" s="1"/>
  <c r="J41" i="1"/>
  <c r="K41" i="1" s="1"/>
  <c r="Y41" i="1"/>
  <c r="Z41" i="1" s="1"/>
  <c r="S41" i="1"/>
  <c r="T41" i="1" s="1"/>
  <c r="V41" i="1"/>
  <c r="W41" i="1" s="1"/>
  <c r="BF42" i="1"/>
  <c r="M42" i="1"/>
  <c r="F35" i="2" s="1"/>
  <c r="D35" i="2"/>
  <c r="AZ42" i="1"/>
  <c r="P42" i="1"/>
  <c r="F36" i="2" s="1"/>
  <c r="D36" i="2"/>
  <c r="J42" i="1"/>
  <c r="F34" i="2" s="1"/>
  <c r="D34" i="2"/>
  <c r="BC42" i="1"/>
  <c r="AB42" i="1"/>
  <c r="F40" i="2" s="1"/>
  <c r="D40" i="2"/>
  <c r="Y42" i="1"/>
  <c r="F39" i="2" s="1"/>
  <c r="D39" i="2"/>
  <c r="V42" i="1"/>
  <c r="F38" i="2" s="1"/>
  <c r="D38" i="2"/>
  <c r="S42" i="1"/>
  <c r="F37" i="2" s="1"/>
  <c r="D37" i="2"/>
  <c r="I40" i="1"/>
  <c r="F41" i="1"/>
  <c r="F50" i="2" l="1"/>
  <c r="F54" i="2"/>
  <c r="F53" i="2"/>
  <c r="F49" i="2"/>
  <c r="F51" i="2"/>
  <c r="F48" i="2"/>
  <c r="F58" i="2"/>
  <c r="F57" i="2"/>
  <c r="F56" i="2"/>
  <c r="F55" i="2"/>
  <c r="CE41" i="1"/>
  <c r="CB41" i="1"/>
  <c r="BY41" i="1"/>
  <c r="BV41" i="1"/>
  <c r="BS41" i="1"/>
  <c r="BP41" i="1"/>
  <c r="G41" i="1"/>
  <c r="H41" i="1" s="1"/>
  <c r="BT41" i="1" s="1"/>
  <c r="AS41" i="1" l="1"/>
  <c r="BW41" i="1"/>
  <c r="AG41" i="1"/>
  <c r="BN41" i="1"/>
  <c r="BE41" i="1"/>
  <c r="BB41" i="1"/>
  <c r="CF41" i="1"/>
  <c r="BZ41" i="1"/>
  <c r="CC41" i="1"/>
  <c r="BH41" i="1"/>
  <c r="AM41" i="1"/>
  <c r="BQ41" i="1"/>
  <c r="BM41" i="1"/>
  <c r="AP41" i="1"/>
  <c r="AV41" i="1"/>
  <c r="AY41" i="1"/>
  <c r="BK41" i="1"/>
  <c r="AJ41" i="1"/>
  <c r="L41" i="1"/>
  <c r="O41" i="1"/>
  <c r="R41" i="1"/>
  <c r="AA41" i="1"/>
  <c r="X41" i="1"/>
  <c r="U41" i="1"/>
  <c r="AD41" i="1"/>
  <c r="I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Jamie McCutchen</author>
  </authors>
  <commentList>
    <comment ref="J7" authorId="0" shapeId="0" xr:uid="{00000000-0006-0000-0000-000001000000}">
      <text>
        <r>
          <rPr>
            <b/>
            <sz val="9"/>
            <color rgb="FF000000"/>
            <rFont val="Tahoma"/>
            <family val="2"/>
          </rPr>
          <t>Use these lines to input additional information,such as project mumber, project phase, etc.</t>
        </r>
      </text>
    </comment>
    <comment ref="R9" authorId="0" shapeId="0" xr:uid="{EF296626-BBDC-40AC-8AB3-5F922152D8D4}">
      <text>
        <r>
          <rPr>
            <b/>
            <sz val="9"/>
            <color rgb="FF000000"/>
            <rFont val="Tahoma"/>
            <family val="2"/>
          </rPr>
          <t>Jamie McCutchen:</t>
        </r>
        <r>
          <rPr>
            <sz val="9"/>
            <color rgb="FF000000"/>
            <rFont val="Tahoma"/>
            <family val="2"/>
          </rPr>
          <t xml:space="preserve">
</t>
        </r>
        <r>
          <rPr>
            <sz val="9"/>
            <color rgb="FF000000"/>
            <rFont val="Tahoma"/>
            <family val="2"/>
          </rPr>
          <t>Typically 1800 CF/AC, but may vary by area</t>
        </r>
      </text>
    </comment>
    <comment ref="D13" authorId="0" shapeId="0" xr:uid="{00000000-0006-0000-0000-000002000000}">
      <text>
        <r>
          <rPr>
            <b/>
            <sz val="9"/>
            <color rgb="FF000000"/>
            <rFont val="Tahoma"/>
            <family val="2"/>
          </rPr>
          <t>Longest allowable time to drain basin.  In NC &amp; SC = 120 Other areas may vary</t>
        </r>
      </text>
    </comment>
    <comment ref="I13" authorId="0" shapeId="0" xr:uid="{00000000-0006-0000-0000-000003000000}">
      <text>
        <r>
          <rPr>
            <b/>
            <sz val="9"/>
            <color rgb="FF000000"/>
            <rFont val="Tahoma"/>
            <family val="2"/>
          </rPr>
          <t>Confirm Calculated Pond Volume is accurate.  If not, adjust Length and Width to achieve accurate volume</t>
        </r>
        <r>
          <rPr>
            <sz val="9"/>
            <color rgb="FF000000"/>
            <rFont val="Tahoma"/>
            <family val="2"/>
          </rPr>
          <t xml:space="preserve">
</t>
        </r>
      </text>
    </comment>
    <comment ref="D14" authorId="0" shapeId="0" xr:uid="{00000000-0006-0000-0000-000004000000}">
      <text>
        <r>
          <rPr>
            <b/>
            <sz val="9"/>
            <color indexed="81"/>
            <rFont val="Tahoma"/>
            <family val="2"/>
          </rPr>
          <t>Shortest allowable time to drain basin.
In NC &amp; SC = 48
Other areas may vary</t>
        </r>
        <r>
          <rPr>
            <sz val="9"/>
            <color indexed="81"/>
            <rFont val="Tahoma"/>
            <family val="2"/>
          </rPr>
          <t xml:space="preserve">
</t>
        </r>
      </text>
    </comment>
    <comment ref="D15" authorId="0" shapeId="0" xr:uid="{00000000-0006-0000-0000-000005000000}">
      <text>
        <r>
          <rPr>
            <b/>
            <sz val="9"/>
            <color indexed="81"/>
            <rFont val="Tahoma"/>
            <family val="2"/>
          </rPr>
          <t>Height from invert of lowest outlet to invert of next outlet or spillway</t>
        </r>
        <r>
          <rPr>
            <sz val="9"/>
            <color indexed="81"/>
            <rFont val="Tahoma"/>
            <family val="2"/>
          </rPr>
          <t xml:space="preserve">
</t>
        </r>
      </text>
    </comment>
    <comment ref="D16" authorId="0" shapeId="0" xr:uid="{00000000-0006-0000-0000-000006000000}">
      <text>
        <r>
          <rPr>
            <b/>
            <sz val="9"/>
            <color indexed="81"/>
            <rFont val="Tahoma"/>
            <family val="2"/>
          </rPr>
          <t>Average Length at elevation of next outlet or spillway, not typically top of basin.</t>
        </r>
        <r>
          <rPr>
            <sz val="9"/>
            <color indexed="81"/>
            <rFont val="Tahoma"/>
            <family val="2"/>
          </rPr>
          <t xml:space="preserve">
</t>
        </r>
      </text>
    </comment>
    <comment ref="D17" authorId="0" shapeId="0" xr:uid="{00000000-0006-0000-0000-000007000000}">
      <text>
        <r>
          <rPr>
            <b/>
            <sz val="9"/>
            <color rgb="FF000000"/>
            <rFont val="Tahoma"/>
            <family val="2"/>
          </rPr>
          <t xml:space="preserve">Average Width at elevation of next outlet or spillway, not typically top of basin.
</t>
        </r>
        <r>
          <rPr>
            <b/>
            <sz val="9"/>
            <color rgb="FF000000"/>
            <rFont val="Tahoma"/>
            <family val="2"/>
          </rPr>
          <t>Prefer 2:1 ratio for length to width</t>
        </r>
        <r>
          <rPr>
            <sz val="9"/>
            <color rgb="FF000000"/>
            <rFont val="Tahoma"/>
            <family val="2"/>
          </rPr>
          <t xml:space="preserve">
</t>
        </r>
      </text>
    </comment>
    <comment ref="D18" authorId="0" shapeId="0" xr:uid="{00000000-0006-0000-0000-000008000000}">
      <text>
        <r>
          <rPr>
            <b/>
            <sz val="9"/>
            <color indexed="81"/>
            <rFont val="Tahoma"/>
            <family val="2"/>
          </rPr>
          <t>Average Length at invert of lowest outlet/bottom of basin.  Recommend 3:1 max side slopes.</t>
        </r>
        <r>
          <rPr>
            <sz val="9"/>
            <color indexed="81"/>
            <rFont val="Tahoma"/>
            <family val="2"/>
          </rPr>
          <t xml:space="preserve">
</t>
        </r>
      </text>
    </comment>
    <comment ref="D19" authorId="0" shapeId="0" xr:uid="{00000000-0006-0000-0000-000009000000}">
      <text>
        <r>
          <rPr>
            <b/>
            <sz val="9"/>
            <color rgb="FF000000"/>
            <rFont val="Tahoma"/>
            <family val="2"/>
          </rPr>
          <t>Average Width at invert of lowest outlet/bottom of basin.</t>
        </r>
      </text>
    </comment>
  </commentList>
</comments>
</file>

<file path=xl/sharedStrings.xml><?xml version="1.0" encoding="utf-8"?>
<sst xmlns="http://schemas.openxmlformats.org/spreadsheetml/2006/main" count="282" uniqueCount="134">
  <si>
    <t>Pond Top Length, ft =</t>
  </si>
  <si>
    <t>Pond Depth, ft =</t>
  </si>
  <si>
    <t>Pond Top Width, ft =</t>
  </si>
  <si>
    <t>Pond Bottom Length, ft =</t>
  </si>
  <si>
    <t>Pond Bottom Width, ft =</t>
  </si>
  <si>
    <t>Inputs</t>
  </si>
  <si>
    <r>
      <t>Calculated Pond Volume, ft</t>
    </r>
    <r>
      <rPr>
        <vertAlign val="superscript"/>
        <sz val="11"/>
        <color theme="1"/>
        <rFont val="Calibri"/>
        <family val="2"/>
        <scheme val="minor"/>
      </rPr>
      <t>3</t>
    </r>
    <r>
      <rPr>
        <sz val="11"/>
        <color theme="1"/>
        <rFont val="Calibri"/>
        <family val="2"/>
        <scheme val="minor"/>
      </rPr>
      <t xml:space="preserve"> =</t>
    </r>
  </si>
  <si>
    <t>Calculated Pond Volume, gal =</t>
  </si>
  <si>
    <t>Calculations</t>
  </si>
  <si>
    <t>Depth Increments for Calcs, in. =</t>
  </si>
  <si>
    <t>Water Level Depth, in.</t>
  </si>
  <si>
    <t>L</t>
  </si>
  <si>
    <t>W</t>
  </si>
  <si>
    <t>Avg. Water Level Depth, in.</t>
  </si>
  <si>
    <t>Cumm. Drain Time, hrs.</t>
  </si>
  <si>
    <t>Incr. Depth, in</t>
  </si>
  <si>
    <t>No. of Depth Increments for Calcs, in. =</t>
  </si>
  <si>
    <t>Skimmer Size Selection Optimization</t>
  </si>
  <si>
    <t>Skimmer / Orifice Combinations with Sufficient Flow:</t>
  </si>
  <si>
    <t>Flow Rate:</t>
  </si>
  <si>
    <t>Lowest depth that can still drain through skimmer.</t>
  </si>
  <si>
    <t>Skimmer Flow Rate, gal/min</t>
  </si>
  <si>
    <t>Incr. Dis-charge, ft3</t>
  </si>
  <si>
    <t>Cumm. Dis-charge, ft3</t>
  </si>
  <si>
    <t>Cumm. Dis-charge, gal</t>
  </si>
  <si>
    <r>
      <rPr>
        <u/>
        <sz val="11"/>
        <color theme="1"/>
        <rFont val="Calibri"/>
        <family val="2"/>
        <scheme val="minor"/>
      </rPr>
      <t>Note</t>
    </r>
    <r>
      <rPr>
        <sz val="11"/>
        <color theme="1"/>
        <rFont val="Calibri"/>
        <family val="2"/>
        <scheme val="minor"/>
      </rPr>
      <t>: Equations are from product testing:</t>
    </r>
  </si>
  <si>
    <t>% of Total Volume Dis-charged</t>
  </si>
  <si>
    <t>Min. Time to Drain, hrs =</t>
  </si>
  <si>
    <t>Skimmer Model / Orifice Size, in</t>
  </si>
  <si>
    <t>Max. Time to Drain, hrs =</t>
  </si>
  <si>
    <t>Project Name</t>
  </si>
  <si>
    <t>Project Location</t>
  </si>
  <si>
    <t>Engineer</t>
  </si>
  <si>
    <t>Company</t>
  </si>
  <si>
    <t>Basin Description</t>
  </si>
  <si>
    <t>Other 1</t>
  </si>
  <si>
    <t>Other 2</t>
  </si>
  <si>
    <t>Date</t>
  </si>
  <si>
    <t/>
  </si>
  <si>
    <r>
      <t>Calculated Pond Volume, ft</t>
    </r>
    <r>
      <rPr>
        <vertAlign val="superscript"/>
        <sz val="11"/>
        <color theme="1"/>
        <rFont val="Calibri"/>
        <family val="2"/>
        <scheme val="minor"/>
      </rPr>
      <t>3</t>
    </r>
    <r>
      <rPr>
        <sz val="11"/>
        <color theme="1"/>
        <rFont val="Calibri"/>
        <family val="2"/>
        <scheme val="minor"/>
      </rPr>
      <t xml:space="preserve"> =</t>
    </r>
  </si>
  <si>
    <t>Orifice</t>
  </si>
  <si>
    <t>Model #</t>
  </si>
  <si>
    <t>1.0"</t>
  </si>
  <si>
    <t>1.5"</t>
  </si>
  <si>
    <t>2.0"</t>
  </si>
  <si>
    <t>2.5"</t>
  </si>
  <si>
    <t>3.0"</t>
  </si>
  <si>
    <t>Minimum Average Flow Rate Allowable</t>
  </si>
  <si>
    <t>Maximum Average Flow Rate Allowable</t>
  </si>
  <si>
    <t>hrs</t>
  </si>
  <si>
    <t>cfd to drain in</t>
  </si>
  <si>
    <t>Skimmer Flow Rate, cfs</t>
  </si>
  <si>
    <t>User Entries</t>
  </si>
  <si>
    <t>Skimmer draw down time for selection</t>
  </si>
  <si>
    <t>This skimmer size selection tool is designed to more accurately calculate the draw down rate for specific skimmers based on specific basin criteria.  Although they are often referred to as constant flow devices, skimmers have been shown to actually have variable flow rates, which are dependent upon a variety of factors.  Testing is typically required to determine the actual flow rates.  The use of a calculated flow rate to select a skimmer to meet a required draw down time has been widely accepted, however, as skimmer technology advances, many regulatory agencies are moving towards requiring more accurate models.  This design tool takes into account basin size and depth, which directly correlate to skimmer flow rate.  By incorporating these factors a more accurate selection of the skimmer can be made.</t>
  </si>
  <si>
    <t>cfs</t>
  </si>
  <si>
    <t xml:space="preserve">Typically recommend skimmer with draw </t>
  </si>
  <si>
    <t>MF 2" - 0.75" Orifice</t>
  </si>
  <si>
    <t>MF 2" - 1.0" Orifice</t>
  </si>
  <si>
    <r>
      <t>1.6425*depth</t>
    </r>
    <r>
      <rPr>
        <vertAlign val="superscript"/>
        <sz val="10"/>
        <color theme="1"/>
        <rFont val="Times New Roman"/>
        <family val="1"/>
      </rPr>
      <t>0.0636</t>
    </r>
  </si>
  <si>
    <r>
      <t>6.4078*depth</t>
    </r>
    <r>
      <rPr>
        <vertAlign val="superscript"/>
        <sz val="10"/>
        <color theme="1"/>
        <rFont val="Times New Roman"/>
        <family val="1"/>
      </rPr>
      <t>0.0312</t>
    </r>
  </si>
  <si>
    <r>
      <t>7.5459*depth</t>
    </r>
    <r>
      <rPr>
        <vertAlign val="superscript"/>
        <sz val="10"/>
        <color theme="1"/>
        <rFont val="Times New Roman"/>
        <family val="1"/>
      </rPr>
      <t>0.0748</t>
    </r>
  </si>
  <si>
    <r>
      <t>14.221*depth</t>
    </r>
    <r>
      <rPr>
        <vertAlign val="superscript"/>
        <sz val="10"/>
        <color theme="1"/>
        <rFont val="Times New Roman"/>
        <family val="1"/>
      </rPr>
      <t>0.0401</t>
    </r>
  </si>
  <si>
    <t>MF 2" - 1.5" Orifice</t>
  </si>
  <si>
    <r>
      <t>22.133*depth</t>
    </r>
    <r>
      <rPr>
        <vertAlign val="superscript"/>
        <sz val="10"/>
        <color theme="1"/>
        <rFont val="Times New Roman"/>
        <family val="1"/>
      </rPr>
      <t>0.1378</t>
    </r>
  </si>
  <si>
    <t>MF 3"  - 1.5" Orifice</t>
  </si>
  <si>
    <r>
      <t>16.127*depth</t>
    </r>
    <r>
      <rPr>
        <vertAlign val="superscript"/>
        <sz val="10"/>
        <color theme="1"/>
        <rFont val="Times New Roman"/>
        <family val="1"/>
      </rPr>
      <t>0.0897</t>
    </r>
  </si>
  <si>
    <t>MF 3"  - 2.5" Orifice</t>
  </si>
  <si>
    <r>
      <t>29.588*depth</t>
    </r>
    <r>
      <rPr>
        <vertAlign val="superscript"/>
        <sz val="10"/>
        <color theme="1"/>
        <rFont val="Times New Roman"/>
        <family val="1"/>
      </rPr>
      <t>0.0625</t>
    </r>
  </si>
  <si>
    <r>
      <t>60.386*depth</t>
    </r>
    <r>
      <rPr>
        <vertAlign val="superscript"/>
        <sz val="10"/>
        <color theme="1"/>
        <rFont val="Times New Roman"/>
        <family val="1"/>
      </rPr>
      <t>0.12</t>
    </r>
  </si>
  <si>
    <t>MF 4" - 2.5" Orifice</t>
  </si>
  <si>
    <t>MF 4" - 2.0" Orifice</t>
  </si>
  <si>
    <t>MF 3" - 2.0" Orifice</t>
  </si>
  <si>
    <t>MF 4"  - 3.0" Orifice</t>
  </si>
  <si>
    <t>2"</t>
  </si>
  <si>
    <t>0.5"</t>
  </si>
  <si>
    <t>0.75"</t>
  </si>
  <si>
    <t>3"</t>
  </si>
  <si>
    <t>4"</t>
  </si>
  <si>
    <t>MF 4" - 4"</t>
  </si>
  <si>
    <t>MF 3" - 3"</t>
  </si>
  <si>
    <t>MF 2" - 2"</t>
  </si>
  <si>
    <t>MF 2" - 0.5" Orifice</t>
  </si>
  <si>
    <r>
      <t>32.786*depth</t>
    </r>
    <r>
      <rPr>
        <vertAlign val="superscript"/>
        <sz val="10"/>
        <color theme="1"/>
        <rFont val="Times New Roman"/>
        <family val="1"/>
      </rPr>
      <t>0.0463</t>
    </r>
  </si>
  <si>
    <r>
      <t>48.885*depth</t>
    </r>
    <r>
      <rPr>
        <vertAlign val="superscript"/>
        <sz val="10"/>
        <color theme="1"/>
        <rFont val="Times New Roman"/>
        <family val="1"/>
      </rPr>
      <t>0.0519</t>
    </r>
  </si>
  <si>
    <r>
      <t>99.028*depth</t>
    </r>
    <r>
      <rPr>
        <vertAlign val="superscript"/>
        <sz val="10"/>
        <color theme="1"/>
        <rFont val="Times New Roman"/>
        <family val="1"/>
      </rPr>
      <t>0.0712</t>
    </r>
  </si>
  <si>
    <r>
      <t>141.13*depth</t>
    </r>
    <r>
      <rPr>
        <vertAlign val="superscript"/>
        <sz val="10"/>
        <color theme="1"/>
        <rFont val="Times New Roman"/>
        <family val="1"/>
      </rPr>
      <t>0.1432</t>
    </r>
  </si>
  <si>
    <t>Required Dewatering Volume</t>
  </si>
  <si>
    <t xml:space="preserve">CF/AC = </t>
  </si>
  <si>
    <t>CF</t>
  </si>
  <si>
    <t>Area to Basin</t>
  </si>
  <si>
    <t>Confirm Calculated Pond Volume is similar to Required Dewatering Volume</t>
  </si>
  <si>
    <t>Acres x</t>
  </si>
  <si>
    <t>MF 6" - 3.5" Orifice</t>
  </si>
  <si>
    <t>MF 6" - 4" Orifice</t>
  </si>
  <si>
    <t>MF 6" - 4.5" Orifice</t>
  </si>
  <si>
    <t>MF 6" - 5" Orifice</t>
  </si>
  <si>
    <t>MF 8" - 5" Orifice</t>
  </si>
  <si>
    <t>MF 6" - 6"</t>
  </si>
  <si>
    <t>MF 8" - 6" Orifice</t>
  </si>
  <si>
    <t>MF 8" - 8" (6" Barrel)</t>
  </si>
  <si>
    <t>MF 8" - 6.5" Orifice</t>
  </si>
  <si>
    <r>
      <t>89.451*depth</t>
    </r>
    <r>
      <rPr>
        <vertAlign val="superscript"/>
        <sz val="10"/>
        <color theme="1"/>
        <rFont val="Times New Roman"/>
        <family val="1"/>
      </rPr>
      <t>0.1513</t>
    </r>
  </si>
  <si>
    <r>
      <t>118.43*depth</t>
    </r>
    <r>
      <rPr>
        <vertAlign val="superscript"/>
        <sz val="10"/>
        <color theme="1"/>
        <rFont val="Times New Roman"/>
        <family val="1"/>
      </rPr>
      <t>0.1505</t>
    </r>
  </si>
  <si>
    <r>
      <t>153.15*depth</t>
    </r>
    <r>
      <rPr>
        <vertAlign val="superscript"/>
        <sz val="10"/>
        <color theme="1"/>
        <rFont val="Times New Roman"/>
        <family val="1"/>
      </rPr>
      <t>0.1974</t>
    </r>
  </si>
  <si>
    <r>
      <t>203.74*depth</t>
    </r>
    <r>
      <rPr>
        <vertAlign val="superscript"/>
        <sz val="10"/>
        <color theme="1"/>
        <rFont val="Times New Roman"/>
        <family val="1"/>
      </rPr>
      <t>0.1016</t>
    </r>
  </si>
  <si>
    <r>
      <t>283.77*depth</t>
    </r>
    <r>
      <rPr>
        <vertAlign val="superscript"/>
        <sz val="10"/>
        <color theme="1"/>
        <rFont val="Times New Roman"/>
        <family val="1"/>
      </rPr>
      <t>0.1496</t>
    </r>
  </si>
  <si>
    <r>
      <t>221.56*depth</t>
    </r>
    <r>
      <rPr>
        <vertAlign val="superscript"/>
        <sz val="10"/>
        <color theme="1"/>
        <rFont val="Times New Roman"/>
        <family val="1"/>
      </rPr>
      <t>0.0978</t>
    </r>
  </si>
  <si>
    <r>
      <t>411.28*depth</t>
    </r>
    <r>
      <rPr>
        <vertAlign val="superscript"/>
        <sz val="10"/>
        <color theme="1"/>
        <rFont val="Times New Roman"/>
        <family val="1"/>
      </rPr>
      <t>0.2837</t>
    </r>
  </si>
  <si>
    <r>
      <t>496.27*depth</t>
    </r>
    <r>
      <rPr>
        <vertAlign val="superscript"/>
        <sz val="10"/>
        <color theme="1"/>
        <rFont val="Times New Roman"/>
        <family val="1"/>
      </rPr>
      <t>0.2375</t>
    </r>
  </si>
  <si>
    <r>
      <t>657.43*depth</t>
    </r>
    <r>
      <rPr>
        <vertAlign val="superscript"/>
        <sz val="10"/>
        <color theme="1"/>
        <rFont val="Times New Roman"/>
        <family val="1"/>
      </rPr>
      <t>0.1617</t>
    </r>
  </si>
  <si>
    <t>6"</t>
  </si>
  <si>
    <t>3.5"</t>
  </si>
  <si>
    <t>4.5"</t>
  </si>
  <si>
    <t>5"</t>
  </si>
  <si>
    <t>8"</t>
  </si>
  <si>
    <t>6.5"</t>
  </si>
  <si>
    <t>7"</t>
  </si>
  <si>
    <t>8"**</t>
  </si>
  <si>
    <t>** This 8" skimmer requires an 8" pipe instead of a 6" pipe from the skimmer to the outlet and is a special order item.  Make sure to note on plans this is needed if this version is specified.  Requires two weeks for shipping</t>
  </si>
  <si>
    <r>
      <t>44.782*depth</t>
    </r>
    <r>
      <rPr>
        <vertAlign val="superscript"/>
        <sz val="10"/>
        <color theme="1"/>
        <rFont val="Times New Roman"/>
        <family val="1"/>
      </rPr>
      <t>0.1537</t>
    </r>
  </si>
  <si>
    <t>MF 4"  - 3.5" Orifice</t>
  </si>
  <si>
    <r>
      <t>72.011*depth</t>
    </r>
    <r>
      <rPr>
        <vertAlign val="superscript"/>
        <sz val="10"/>
        <color theme="1"/>
        <rFont val="Times New Roman"/>
        <family val="1"/>
      </rPr>
      <t>0.0744</t>
    </r>
  </si>
  <si>
    <r>
      <t>285.69*depth</t>
    </r>
    <r>
      <rPr>
        <vertAlign val="superscript"/>
        <sz val="10"/>
        <color theme="1"/>
        <rFont val="Times New Roman"/>
        <family val="1"/>
      </rPr>
      <t>0.1727</t>
    </r>
  </si>
  <si>
    <r>
      <t>325.99*depth</t>
    </r>
    <r>
      <rPr>
        <vertAlign val="superscript"/>
        <sz val="10"/>
        <color theme="1"/>
        <rFont val="Times New Roman"/>
        <family val="1"/>
      </rPr>
      <t>0.1813</t>
    </r>
  </si>
  <si>
    <t>MF 8" - 8" (8" Barrel)**</t>
  </si>
  <si>
    <t>MF 8" - 7" Orifice</t>
  </si>
  <si>
    <t>Marlee Float™ Skimmer Size Selection Tool - Version 2.0</t>
  </si>
  <si>
    <t>Marlee Float™ Skimmer Size Selection Report</t>
  </si>
  <si>
    <t>Marlee Float™ Selection Chart</t>
  </si>
  <si>
    <t>Draw Down Time (hrs)</t>
  </si>
  <si>
    <t>Acceptable for Basin</t>
  </si>
  <si>
    <t>For Calculated Pond Volume, adjust pond dimension inputs so that the volume is within 5% of Required Dewatering Volume.  Adjust CF/Acre based on local MS4 requirements.</t>
  </si>
  <si>
    <t>down time closest to 72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</si>
</sst>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409]mmmm\ d\,\ yyyy;@"/>
    <numFmt numFmtId="167" formatCode="_(* #,##0_);_(* \(#,##0\);_(* &quot;-&quot;??_);_(@_)"/>
    <numFmt numFmtId="168" formatCode="_(* #,##0.000_);_(* \(#,##0.000\);_(* &quot;-&quot;??_);_(@_)"/>
    <numFmt numFmtId="169" formatCode="0.000"/>
  </numFmts>
  <fonts count="20">
    <font>
      <sz val="11"/>
      <color theme="1"/>
      <name val="Calibri"/>
      <family val="2"/>
      <scheme val="minor"/>
    </font>
    <font>
      <vertAlign val="superscrip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0"/>
      <color theme="1"/>
      <name val="Times New Roman"/>
      <family val="1"/>
    </font>
    <font>
      <u/>
      <sz val="11"/>
      <color theme="1"/>
      <name val="Calibri"/>
      <family val="2"/>
      <scheme val="minor"/>
    </font>
    <font>
      <vertAlign val="superscript"/>
      <sz val="10"/>
      <color theme="1"/>
      <name val="Times New Roman"/>
      <family val="1"/>
    </font>
    <font>
      <b/>
      <sz val="10"/>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9"/>
      <color indexed="81"/>
      <name val="Tahoma"/>
      <family val="2"/>
    </font>
    <font>
      <b/>
      <sz val="9"/>
      <color indexed="81"/>
      <name val="Tahoma"/>
      <family val="2"/>
    </font>
    <font>
      <sz val="14"/>
      <color theme="1"/>
      <name val="Calibri"/>
      <family val="2"/>
      <scheme val="minor"/>
    </font>
    <font>
      <b/>
      <sz val="9"/>
      <color rgb="FF000000"/>
      <name val="Tahoma"/>
      <family val="2"/>
    </font>
    <font>
      <sz val="11"/>
      <name val="Wingdings"/>
      <charset val="2"/>
    </font>
    <font>
      <b/>
      <sz val="20"/>
      <color theme="1"/>
      <name val="Calibri (Body)"/>
    </font>
    <font>
      <sz val="9"/>
      <color rgb="FF000000"/>
      <name val="Tahoma"/>
      <family val="2"/>
    </font>
    <font>
      <b/>
      <sz val="18"/>
      <color theme="1"/>
      <name val="Calibri (Body)"/>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ABF8F"/>
        <bgColor indexed="64"/>
      </patternFill>
    </fill>
    <fill>
      <patternFill patternType="solid">
        <fgColor rgb="FFFFE38E"/>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s>
  <cellStyleXfs count="2">
    <xf numFmtId="0" fontId="0" fillId="0" borderId="0"/>
    <xf numFmtId="43" fontId="9" fillId="0" borderId="0" applyFont="0" applyFill="0" applyBorder="0" applyAlignment="0" applyProtection="0"/>
  </cellStyleXfs>
  <cellXfs count="236">
    <xf numFmtId="0" fontId="0" fillId="0" borderId="0" xfId="0"/>
    <xf numFmtId="0" fontId="0" fillId="0" borderId="0" xfId="0"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13" xfId="0" applyBorder="1" applyAlignment="1">
      <alignment horizont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1" fontId="0" fillId="0" borderId="0" xfId="0" applyNumberFormat="1" applyAlignment="1">
      <alignment horizontal="left" vertical="center"/>
    </xf>
    <xf numFmtId="0" fontId="4" fillId="0" borderId="0" xfId="0" applyFont="1"/>
    <xf numFmtId="0" fontId="4" fillId="0" borderId="0" xfId="0" applyNumberFormat="1" applyFont="1" applyFill="1" applyAlignment="1">
      <alignment horizontal="left" vertical="center"/>
    </xf>
    <xf numFmtId="0" fontId="4" fillId="0" borderId="0" xfId="0" applyFont="1" applyFill="1" applyAlignment="1">
      <alignment horizontal="left" vertical="center"/>
    </xf>
    <xf numFmtId="0" fontId="0" fillId="0" borderId="0" xfId="0" applyFill="1" applyAlignment="1">
      <alignment horizontal="left" vertical="center"/>
    </xf>
    <xf numFmtId="0" fontId="0" fillId="0" borderId="0" xfId="0" applyNumberFormat="1" applyFill="1" applyAlignment="1">
      <alignment horizontal="left" vertical="center"/>
    </xf>
    <xf numFmtId="0" fontId="0" fillId="0" borderId="1" xfId="0" applyBorder="1" applyAlignment="1">
      <alignment horizontal="center" vertical="center"/>
    </xf>
    <xf numFmtId="167" fontId="0" fillId="2" borderId="7" xfId="1" applyNumberFormat="1" applyFont="1" applyFill="1" applyBorder="1" applyAlignment="1">
      <alignment horizontal="left"/>
    </xf>
    <xf numFmtId="0" fontId="0" fillId="0" borderId="7" xfId="0" applyFont="1" applyFill="1" applyBorder="1" applyAlignment="1">
      <alignment horizontal="left"/>
    </xf>
    <xf numFmtId="0" fontId="0" fillId="0" borderId="12" xfId="0" applyFont="1" applyBorder="1" applyAlignment="1">
      <alignment horizontal="left"/>
    </xf>
    <xf numFmtId="0" fontId="0" fillId="0" borderId="16" xfId="0" applyFont="1" applyBorder="1" applyAlignment="1">
      <alignment horizontal="left"/>
    </xf>
    <xf numFmtId="0" fontId="10" fillId="0" borderId="0" xfId="0" applyFont="1"/>
    <xf numFmtId="167" fontId="10" fillId="0" borderId="0" xfId="1" applyNumberFormat="1" applyFont="1"/>
    <xf numFmtId="0" fontId="0" fillId="0" borderId="2" xfId="0" applyBorder="1" applyAlignment="1">
      <alignment horizontal="center" vertical="center"/>
    </xf>
    <xf numFmtId="0" fontId="0" fillId="0" borderId="13" xfId="0" applyBorder="1" applyAlignment="1">
      <alignment horizontal="center" vertical="center"/>
    </xf>
    <xf numFmtId="0" fontId="0" fillId="0" borderId="2" xfId="0" quotePrefix="1" applyBorder="1" applyAlignment="1">
      <alignment horizontal="center" vertical="center"/>
    </xf>
    <xf numFmtId="0" fontId="0" fillId="0" borderId="7" xfId="0" applyFont="1" applyFill="1" applyBorder="1" applyAlignment="1" applyProtection="1">
      <alignment horizontal="left"/>
    </xf>
    <xf numFmtId="0" fontId="0" fillId="0" borderId="1" xfId="0" applyBorder="1" applyAlignment="1" applyProtection="1">
      <alignment horizontal="center"/>
      <protection hidden="1"/>
    </xf>
    <xf numFmtId="1" fontId="0" fillId="0" borderId="1" xfId="0" applyNumberFormat="1" applyBorder="1" applyAlignment="1" applyProtection="1">
      <alignment horizontal="center"/>
      <protection hidden="1"/>
    </xf>
    <xf numFmtId="165" fontId="0" fillId="0" borderId="1" xfId="0" applyNumberFormat="1" applyBorder="1" applyAlignment="1" applyProtection="1">
      <alignment horizontal="center"/>
      <protection hidden="1"/>
    </xf>
    <xf numFmtId="165" fontId="0" fillId="0" borderId="9" xfId="0" applyNumberFormat="1" applyBorder="1" applyAlignment="1" applyProtection="1">
      <alignment horizontal="center"/>
      <protection hidden="1"/>
    </xf>
    <xf numFmtId="1" fontId="0" fillId="0" borderId="5" xfId="0" applyNumberFormat="1" applyBorder="1" applyAlignment="1" applyProtection="1">
      <alignment horizontal="center"/>
      <protection hidden="1"/>
    </xf>
    <xf numFmtId="0" fontId="0" fillId="0" borderId="13" xfId="0" applyBorder="1" applyAlignment="1" applyProtection="1">
      <alignment horizontal="center"/>
      <protection hidden="1"/>
    </xf>
    <xf numFmtId="1" fontId="0" fillId="0" borderId="13"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65" fontId="0" fillId="0" borderId="13" xfId="0" applyNumberFormat="1" applyBorder="1" applyAlignment="1" applyProtection="1">
      <alignment horizontal="center"/>
      <protection hidden="1"/>
    </xf>
    <xf numFmtId="1" fontId="0" fillId="0" borderId="13" xfId="0" applyNumberFormat="1" applyFill="1" applyBorder="1" applyAlignment="1" applyProtection="1">
      <alignment horizontal="center"/>
      <protection hidden="1"/>
    </xf>
    <xf numFmtId="0" fontId="0" fillId="0" borderId="2" xfId="0" applyBorder="1" applyAlignment="1" applyProtection="1">
      <alignment horizontal="center"/>
      <protection hidden="1"/>
    </xf>
    <xf numFmtId="1" fontId="0" fillId="0" borderId="2" xfId="0" applyNumberFormat="1" applyBorder="1" applyAlignment="1" applyProtection="1">
      <alignment horizontal="center"/>
      <protection hidden="1"/>
    </xf>
    <xf numFmtId="1" fontId="0" fillId="0" borderId="4" xfId="0" applyNumberFormat="1" applyBorder="1" applyAlignment="1" applyProtection="1">
      <alignment horizontal="center"/>
      <protection hidden="1"/>
    </xf>
    <xf numFmtId="165" fontId="0" fillId="0" borderId="2" xfId="0" applyNumberFormat="1" applyBorder="1" applyAlignment="1" applyProtection="1">
      <alignment horizontal="center"/>
      <protection hidden="1"/>
    </xf>
    <xf numFmtId="0" fontId="5" fillId="0" borderId="10" xfId="0" applyFont="1" applyBorder="1" applyAlignment="1" applyProtection="1">
      <alignment horizontal="center" wrapText="1"/>
    </xf>
    <xf numFmtId="0" fontId="0" fillId="0" borderId="12" xfId="0" applyBorder="1" applyAlignment="1" applyProtection="1"/>
    <xf numFmtId="0" fontId="0" fillId="0" borderId="10" xfId="0" applyBorder="1" applyAlignment="1" applyProtection="1"/>
    <xf numFmtId="0" fontId="0" fillId="0" borderId="0" xfId="0" applyBorder="1" applyAlignment="1" applyProtection="1">
      <alignment horizontal="left"/>
    </xf>
    <xf numFmtId="0" fontId="0" fillId="0" borderId="8" xfId="0" applyBorder="1" applyAlignment="1" applyProtection="1">
      <alignment horizontal="left"/>
    </xf>
    <xf numFmtId="0" fontId="8" fillId="0" borderId="1" xfId="0" applyFont="1" applyBorder="1" applyAlignment="1" applyProtection="1">
      <alignment horizontal="center" wrapText="1"/>
    </xf>
    <xf numFmtId="0" fontId="4" fillId="0" borderId="0" xfId="0" applyFont="1" applyAlignment="1">
      <alignment horizontal="left" vertical="center"/>
    </xf>
    <xf numFmtId="0" fontId="0" fillId="0" borderId="0" xfId="0" applyAlignment="1">
      <alignment horizontal="left" vertical="center"/>
    </xf>
    <xf numFmtId="0" fontId="5" fillId="0" borderId="11" xfId="0" applyFont="1" applyBorder="1" applyAlignment="1" applyProtection="1">
      <alignment horizontal="center" wrapText="1"/>
    </xf>
    <xf numFmtId="0" fontId="0" fillId="0" borderId="11" xfId="0" applyBorder="1" applyAlignment="1" applyProtection="1"/>
    <xf numFmtId="168" fontId="10" fillId="0" borderId="0" xfId="1" applyNumberFormat="1" applyFont="1"/>
    <xf numFmtId="0" fontId="4" fillId="0" borderId="0" xfId="0" applyFont="1" applyAlignment="1">
      <alignment horizontal="left" vertical="center"/>
    </xf>
    <xf numFmtId="0" fontId="8" fillId="0" borderId="7" xfId="0" applyFont="1" applyBorder="1" applyAlignment="1" applyProtection="1">
      <alignment horizontal="center" wrapText="1"/>
    </xf>
    <xf numFmtId="1" fontId="0" fillId="0" borderId="7" xfId="0" applyNumberFormat="1" applyBorder="1" applyAlignment="1" applyProtection="1">
      <alignment horizontal="center"/>
      <protection hidden="1"/>
    </xf>
    <xf numFmtId="0" fontId="0" fillId="0" borderId="18" xfId="0" applyBorder="1" applyAlignment="1" applyProtection="1"/>
    <xf numFmtId="0" fontId="8" fillId="0" borderId="17" xfId="0" applyFont="1" applyBorder="1" applyAlignment="1" applyProtection="1">
      <alignment horizontal="center" wrapText="1"/>
    </xf>
    <xf numFmtId="1" fontId="0" fillId="0" borderId="17" xfId="0" applyNumberFormat="1" applyBorder="1" applyAlignment="1" applyProtection="1">
      <alignment horizontal="center"/>
      <protection hidden="1"/>
    </xf>
    <xf numFmtId="0" fontId="4" fillId="0" borderId="0" xfId="0" applyFont="1" applyAlignment="1">
      <alignment horizontal="left" vertical="center"/>
    </xf>
    <xf numFmtId="0" fontId="0" fillId="0" borderId="0" xfId="0" applyAlignment="1">
      <alignment vertical="center"/>
    </xf>
    <xf numFmtId="0" fontId="0" fillId="0" borderId="22" xfId="0" applyFill="1" applyBorder="1" applyAlignment="1">
      <alignment horizontal="center" vertical="center"/>
    </xf>
    <xf numFmtId="0" fontId="4" fillId="0" borderId="0" xfId="0" applyNumberFormat="1" applyFont="1" applyFill="1" applyAlignment="1">
      <alignment horizontal="left" vertical="center"/>
    </xf>
    <xf numFmtId="0" fontId="0" fillId="0" borderId="0" xfId="0" applyNumberFormat="1" applyFill="1" applyAlignment="1">
      <alignment horizontal="left" vertical="center"/>
    </xf>
    <xf numFmtId="0" fontId="4" fillId="0" borderId="0" xfId="0" applyFont="1" applyFill="1" applyAlignment="1">
      <alignment horizontal="left" vertical="center"/>
    </xf>
    <xf numFmtId="0" fontId="0" fillId="0" borderId="0" xfId="0" applyFill="1" applyAlignment="1">
      <alignment horizontal="left" vertical="center"/>
    </xf>
    <xf numFmtId="0" fontId="11" fillId="0" borderId="0" xfId="0" applyNumberFormat="1" applyFont="1" applyFill="1" applyAlignment="1">
      <alignment horizontal="left" vertical="center"/>
    </xf>
    <xf numFmtId="0" fontId="10" fillId="0" borderId="0" xfId="0" applyNumberFormat="1" applyFont="1" applyFill="1" applyAlignment="1">
      <alignment horizontal="left" vertical="center"/>
    </xf>
    <xf numFmtId="0" fontId="4" fillId="0" borderId="0" xfId="0" applyFont="1" applyAlignment="1">
      <alignment horizontal="left" vertical="center"/>
    </xf>
    <xf numFmtId="0" fontId="4" fillId="3" borderId="0" xfId="0" applyFont="1" applyFill="1" applyAlignment="1">
      <alignment horizontal="left" vertical="center"/>
    </xf>
    <xf numFmtId="0" fontId="0" fillId="0" borderId="0" xfId="0" applyFill="1"/>
    <xf numFmtId="0" fontId="8" fillId="0" borderId="5" xfId="0" applyFont="1" applyBorder="1" applyAlignment="1" applyProtection="1">
      <alignment horizontal="center" wrapText="1"/>
    </xf>
    <xf numFmtId="0" fontId="0" fillId="0" borderId="24" xfId="0" applyBorder="1" applyAlignment="1" applyProtection="1"/>
    <xf numFmtId="0" fontId="8" fillId="0" borderId="23" xfId="0" applyFont="1" applyBorder="1" applyAlignment="1" applyProtection="1">
      <alignment horizontal="center" wrapText="1"/>
    </xf>
    <xf numFmtId="1" fontId="0" fillId="0" borderId="23" xfId="0" applyNumberFormat="1" applyBorder="1" applyAlignment="1" applyProtection="1">
      <alignment horizontal="center"/>
      <protection hidden="1"/>
    </xf>
    <xf numFmtId="0" fontId="4" fillId="0" borderId="0" xfId="0" applyFont="1" applyAlignment="1">
      <alignment horizontal="left" vertical="center"/>
    </xf>
    <xf numFmtId="0" fontId="4" fillId="0" borderId="0" xfId="0" applyFont="1" applyAlignment="1">
      <alignment horizontal="left" vertical="top"/>
    </xf>
    <xf numFmtId="169" fontId="0" fillId="0" borderId="1" xfId="0" applyNumberFormat="1" applyBorder="1" applyAlignment="1" applyProtection="1">
      <alignment horizontal="center"/>
      <protection hidden="1"/>
    </xf>
    <xf numFmtId="169" fontId="0" fillId="0" borderId="13" xfId="0" applyNumberFormat="1" applyFill="1" applyBorder="1" applyAlignment="1" applyProtection="1">
      <alignment horizontal="center"/>
      <protection hidden="1"/>
    </xf>
    <xf numFmtId="169" fontId="0" fillId="0" borderId="13" xfId="0" applyNumberFormat="1" applyBorder="1" applyAlignment="1" applyProtection="1">
      <alignment horizontal="center"/>
      <protection hidden="1"/>
    </xf>
    <xf numFmtId="169" fontId="0" fillId="0" borderId="2" xfId="0" applyNumberFormat="1" applyBorder="1" applyAlignment="1" applyProtection="1">
      <alignment horizontal="center"/>
      <protection hidden="1"/>
    </xf>
    <xf numFmtId="0" fontId="0" fillId="5" borderId="6" xfId="0" applyFill="1" applyBorder="1" applyAlignment="1" applyProtection="1">
      <alignment horizontal="left"/>
      <protection hidden="1"/>
    </xf>
    <xf numFmtId="0" fontId="17" fillId="0" borderId="0" xfId="0" applyFont="1" applyAlignment="1">
      <alignment horizontal="left" vertical="top"/>
    </xf>
    <xf numFmtId="0" fontId="4" fillId="0" borderId="0" xfId="0" applyFont="1" applyAlignment="1">
      <alignment horizontal="left" vertical="top" wrapText="1"/>
    </xf>
    <xf numFmtId="0" fontId="14" fillId="0" borderId="0" xfId="0" applyFont="1" applyAlignment="1">
      <alignment horizontal="left" vertical="top" wrapText="1"/>
    </xf>
    <xf numFmtId="0" fontId="16" fillId="4" borderId="2" xfId="0" applyFont="1" applyFill="1" applyBorder="1" applyAlignment="1">
      <alignment horizontal="center"/>
    </xf>
    <xf numFmtId="0" fontId="0" fillId="4" borderId="0" xfId="0" applyFill="1" applyAlignment="1" applyProtection="1">
      <alignment horizontal="left" vertical="center"/>
      <protection locked="0"/>
    </xf>
    <xf numFmtId="0" fontId="4" fillId="4" borderId="0" xfId="0" applyFont="1" applyFill="1" applyAlignment="1">
      <alignment horizontal="left" vertical="center"/>
    </xf>
    <xf numFmtId="0" fontId="4" fillId="4" borderId="0" xfId="0" applyFont="1" applyFill="1" applyAlignment="1">
      <alignment horizontal="center" vertical="center"/>
    </xf>
    <xf numFmtId="0" fontId="14" fillId="4" borderId="0" xfId="0" applyFont="1" applyFill="1" applyAlignment="1" applyProtection="1">
      <alignment horizontal="center" vertical="center"/>
      <protection locked="0"/>
    </xf>
    <xf numFmtId="167" fontId="4" fillId="4" borderId="0" xfId="1" applyNumberFormat="1" applyFont="1" applyFill="1" applyAlignment="1" applyProtection="1">
      <alignment horizontal="right" vertical="center"/>
    </xf>
    <xf numFmtId="0" fontId="0" fillId="0" borderId="2" xfId="0" applyFill="1" applyBorder="1"/>
    <xf numFmtId="167" fontId="0" fillId="4" borderId="7" xfId="1" applyNumberFormat="1" applyFont="1" applyFill="1" applyBorder="1" applyAlignment="1" applyProtection="1">
      <alignment horizontal="left"/>
      <protection hidden="1"/>
    </xf>
    <xf numFmtId="0" fontId="0" fillId="4" borderId="7" xfId="0" applyFill="1" applyBorder="1" applyAlignment="1" applyProtection="1">
      <alignment horizontal="left"/>
      <protection hidden="1"/>
    </xf>
    <xf numFmtId="0" fontId="0" fillId="4" borderId="7" xfId="0" applyFill="1" applyBorder="1" applyAlignment="1" applyProtection="1">
      <alignment horizontal="left"/>
      <protection locked="0"/>
    </xf>
    <xf numFmtId="1" fontId="0" fillId="4" borderId="0" xfId="0" applyNumberFormat="1" applyFill="1" applyAlignment="1">
      <alignment horizontal="left"/>
    </xf>
    <xf numFmtId="1" fontId="0" fillId="4" borderId="13" xfId="0" applyNumberFormat="1" applyFill="1" applyBorder="1" applyAlignment="1" applyProtection="1">
      <alignment horizontal="center"/>
      <protection hidden="1"/>
    </xf>
    <xf numFmtId="1" fontId="0" fillId="4" borderId="21" xfId="0" applyNumberFormat="1" applyFill="1" applyBorder="1" applyAlignment="1" applyProtection="1">
      <alignment horizontal="center"/>
      <protection hidden="1"/>
    </xf>
    <xf numFmtId="1" fontId="0" fillId="4" borderId="15" xfId="0" applyNumberFormat="1" applyFill="1" applyBorder="1" applyAlignment="1" applyProtection="1">
      <alignment horizontal="center"/>
      <protection hidden="1"/>
    </xf>
    <xf numFmtId="0" fontId="10" fillId="4" borderId="0" xfId="0" applyNumberFormat="1" applyFont="1" applyFill="1" applyAlignment="1">
      <alignment horizontal="left" vertical="center"/>
    </xf>
    <xf numFmtId="0" fontId="11" fillId="4" borderId="0" xfId="0" applyFont="1" applyFill="1" applyAlignment="1">
      <alignment horizontal="left" vertical="center"/>
    </xf>
    <xf numFmtId="0" fontId="10" fillId="4" borderId="0" xfId="0" applyFont="1" applyFill="1" applyAlignment="1">
      <alignment horizontal="left" vertical="center"/>
    </xf>
    <xf numFmtId="0" fontId="11" fillId="4" borderId="0" xfId="0" applyNumberFormat="1" applyFont="1" applyFill="1" applyAlignment="1">
      <alignment horizontal="left" vertical="center"/>
    </xf>
    <xf numFmtId="167" fontId="0" fillId="4" borderId="7" xfId="1" applyNumberFormat="1" applyFont="1" applyFill="1" applyBorder="1" applyAlignment="1">
      <alignment horizontal="left"/>
    </xf>
    <xf numFmtId="0" fontId="19" fillId="0" borderId="0" xfId="0" applyFont="1"/>
    <xf numFmtId="0" fontId="0" fillId="0" borderId="0" xfId="0" applyAlignment="1">
      <alignment horizontal="center"/>
    </xf>
    <xf numFmtId="2" fontId="5" fillId="0" borderId="24"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25" xfId="0" applyFont="1" applyBorder="1" applyAlignment="1" applyProtection="1">
      <alignment horizontal="center" vertical="center"/>
    </xf>
    <xf numFmtId="0" fontId="5" fillId="0" borderId="0" xfId="0" applyFont="1" applyBorder="1" applyAlignment="1" applyProtection="1">
      <alignment horizontal="center" vertical="center"/>
    </xf>
    <xf numFmtId="0" fontId="0" fillId="0" borderId="16" xfId="0"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164" fontId="2" fillId="0" borderId="23" xfId="0" applyNumberFormat="1" applyFont="1" applyBorder="1" applyAlignment="1" applyProtection="1">
      <alignment horizontal="center" vertical="center" wrapText="1"/>
    </xf>
    <xf numFmtId="164" fontId="2" fillId="0" borderId="1" xfId="0" applyNumberFormat="1" applyFont="1" applyBorder="1" applyAlignment="1" applyProtection="1">
      <alignment horizontal="center" vertical="center" wrapText="1"/>
    </xf>
    <xf numFmtId="0" fontId="0" fillId="0" borderId="1" xfId="0" applyBorder="1" applyAlignment="1" applyProtection="1">
      <alignment horizontal="center" vertical="center" wrapText="1"/>
    </xf>
    <xf numFmtId="0" fontId="5"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5" xfId="0" applyBorder="1" applyAlignment="1" applyProtection="1">
      <alignment horizontal="center" vertical="center" wrapText="1"/>
    </xf>
    <xf numFmtId="2" fontId="5" fillId="0" borderId="10"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5" fillId="0" borderId="3"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4" fillId="4" borderId="0" xfId="0" applyFont="1" applyFill="1" applyAlignment="1" applyProtection="1">
      <alignment horizontal="left" vertical="center"/>
      <protection locked="0"/>
    </xf>
    <xf numFmtId="0" fontId="0" fillId="4" borderId="0" xfId="0" applyFill="1" applyAlignment="1" applyProtection="1">
      <alignment horizontal="left" vertical="center"/>
      <protection locked="0"/>
    </xf>
    <xf numFmtId="0" fontId="4" fillId="0" borderId="0" xfId="0" applyFont="1" applyAlignment="1">
      <alignment horizontal="left" vertical="center"/>
    </xf>
    <xf numFmtId="0" fontId="0" fillId="0" borderId="0" xfId="0" applyAlignment="1">
      <alignment horizontal="left" vertical="center"/>
    </xf>
    <xf numFmtId="0" fontId="2" fillId="0" borderId="5" xfId="0" applyFont="1"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6" xfId="0" applyBorder="1" applyAlignment="1" applyProtection="1"/>
    <xf numFmtId="0" fontId="0" fillId="0" borderId="7" xfId="0" applyBorder="1" applyAlignment="1" applyProtection="1"/>
    <xf numFmtId="0" fontId="0" fillId="0" borderId="4" xfId="0" applyBorder="1" applyAlignment="1" applyProtection="1">
      <alignment horizontal="right"/>
    </xf>
    <xf numFmtId="0" fontId="0" fillId="0" borderId="8" xfId="0" applyBorder="1" applyAlignment="1" applyProtection="1"/>
    <xf numFmtId="0" fontId="0" fillId="0" borderId="5" xfId="0" applyBorder="1" applyAlignment="1" applyProtection="1">
      <alignment horizontal="right"/>
    </xf>
    <xf numFmtId="0" fontId="0" fillId="4" borderId="11" xfId="0" applyFill="1" applyBorder="1" applyAlignment="1" applyProtection="1">
      <alignment horizontal="center" vertical="top" wrapText="1"/>
    </xf>
    <xf numFmtId="0" fontId="0" fillId="4" borderId="11" xfId="0" applyFill="1" applyBorder="1" applyAlignment="1" applyProtection="1">
      <alignment horizontal="center"/>
    </xf>
    <xf numFmtId="165" fontId="2" fillId="0" borderId="1" xfId="0" applyNumberFormat="1" applyFont="1" applyBorder="1" applyAlignment="1" applyProtection="1">
      <alignment horizontal="right" vertical="center" wrapText="1"/>
    </xf>
    <xf numFmtId="0" fontId="0" fillId="0" borderId="1" xfId="0" applyBorder="1" applyAlignment="1" applyProtection="1">
      <alignment wrapText="1"/>
    </xf>
    <xf numFmtId="0" fontId="0" fillId="0" borderId="17" xfId="0" applyBorder="1" applyAlignment="1" applyProtection="1">
      <alignment horizontal="center" vertical="center" wrapText="1"/>
    </xf>
    <xf numFmtId="2" fontId="5" fillId="0" borderId="10" xfId="0" applyNumberFormat="1" applyFont="1" applyBorder="1" applyAlignment="1" applyProtection="1">
      <alignment horizontal="center" vertical="center" wrapText="1"/>
    </xf>
    <xf numFmtId="2" fontId="5" fillId="0" borderId="11" xfId="0" applyNumberFormat="1" applyFont="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6" xfId="0" applyBorder="1" applyAlignment="1" applyProtection="1">
      <alignment horizontal="center" vertical="center" wrapText="1"/>
    </xf>
    <xf numFmtId="0" fontId="4" fillId="0" borderId="0" xfId="0" applyFont="1" applyAlignment="1">
      <alignment horizontal="left" vertical="top" wrapText="1"/>
    </xf>
    <xf numFmtId="0" fontId="14" fillId="0" borderId="0" xfId="0" applyFont="1" applyAlignment="1">
      <alignment horizontal="left" vertical="top" wrapText="1"/>
    </xf>
    <xf numFmtId="164" fontId="2" fillId="0" borderId="7" xfId="0" applyNumberFormat="1" applyFont="1" applyBorder="1" applyAlignment="1" applyProtection="1">
      <alignment horizontal="center" vertical="center" wrapText="1"/>
    </xf>
    <xf numFmtId="0" fontId="0" fillId="0" borderId="10" xfId="0" applyBorder="1" applyAlignment="1" applyProtection="1">
      <alignment horizontal="right" vertical="center"/>
    </xf>
    <xf numFmtId="0" fontId="0" fillId="0" borderId="11" xfId="0" applyBorder="1" applyAlignment="1" applyProtection="1">
      <alignment horizontal="right" vertical="center"/>
    </xf>
    <xf numFmtId="0" fontId="0" fillId="0" borderId="4" xfId="0" applyBorder="1" applyAlignment="1" applyProtection="1">
      <alignment horizontal="right" vertical="center"/>
    </xf>
    <xf numFmtId="0" fontId="0" fillId="0" borderId="8" xfId="0" applyBorder="1" applyAlignment="1" applyProtection="1">
      <alignment horizontal="right" vertical="center"/>
    </xf>
    <xf numFmtId="0" fontId="2" fillId="0" borderId="1" xfId="0" applyFont="1" applyBorder="1" applyAlignment="1" applyProtection="1">
      <alignment horizontal="center"/>
    </xf>
    <xf numFmtId="0" fontId="0" fillId="0" borderId="1" xfId="0" applyBorder="1" applyAlignment="1" applyProtection="1"/>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9" xfId="0" applyBorder="1" applyAlignment="1" applyProtection="1">
      <alignment horizontal="center" vertical="center"/>
    </xf>
    <xf numFmtId="0" fontId="3" fillId="0" borderId="16" xfId="0" applyFont="1" applyBorder="1" applyAlignment="1" applyProtection="1">
      <alignment vertical="center"/>
    </xf>
    <xf numFmtId="0" fontId="3" fillId="0" borderId="4" xfId="0" applyFont="1" applyBorder="1" applyAlignment="1" applyProtection="1">
      <alignment vertical="center"/>
    </xf>
    <xf numFmtId="0" fontId="3" fillId="0" borderId="8" xfId="0" applyFont="1" applyBorder="1" applyAlignment="1" applyProtection="1">
      <alignment vertical="center"/>
    </xf>
    <xf numFmtId="0" fontId="3" fillId="0" borderId="14" xfId="0" applyFont="1" applyBorder="1" applyAlignment="1" applyProtection="1">
      <alignment vertical="center"/>
    </xf>
    <xf numFmtId="0" fontId="0" fillId="0" borderId="16" xfId="0" applyBorder="1" applyAlignment="1" applyProtection="1"/>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0" borderId="0" xfId="0" applyAlignment="1">
      <alignment vertical="center"/>
    </xf>
    <xf numFmtId="0" fontId="0" fillId="0" borderId="3" xfId="0" applyBorder="1" applyAlignment="1" applyProtection="1">
      <alignment horizontal="right"/>
    </xf>
    <xf numFmtId="0" fontId="0" fillId="0" borderId="0" xfId="0" applyAlignment="1" applyProtection="1"/>
    <xf numFmtId="0" fontId="4"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4" fillId="4" borderId="0" xfId="0" quotePrefix="1" applyFont="1" applyFill="1" applyAlignment="1" applyProtection="1">
      <alignment horizontal="left" vertical="center"/>
      <protection locked="0"/>
    </xf>
    <xf numFmtId="0" fontId="5" fillId="0" borderId="1" xfId="0" applyFont="1" applyBorder="1" applyAlignment="1" applyProtection="1">
      <alignment horizontal="center" wrapText="1"/>
    </xf>
    <xf numFmtId="0" fontId="4" fillId="3" borderId="0" xfId="0" applyFont="1" applyFill="1" applyAlignment="1">
      <alignment horizontal="left" vertical="center"/>
    </xf>
    <xf numFmtId="0" fontId="4" fillId="4" borderId="0" xfId="0" applyFont="1" applyFill="1" applyAlignment="1" applyProtection="1">
      <alignment horizontal="left" vertical="center" wrapText="1"/>
      <protection locked="0"/>
    </xf>
    <xf numFmtId="0" fontId="0" fillId="4" borderId="0" xfId="0" applyFill="1" applyAlignment="1" applyProtection="1">
      <alignment horizontal="left" vertical="center" wrapText="1"/>
      <protection locked="0"/>
    </xf>
    <xf numFmtId="0" fontId="0" fillId="4" borderId="0" xfId="0" applyFill="1" applyAlignment="1">
      <alignment horizontal="left" vertical="center" wrapText="1"/>
    </xf>
    <xf numFmtId="1" fontId="0" fillId="0" borderId="13" xfId="0" applyNumberFormat="1" applyBorder="1" applyAlignment="1">
      <alignment horizontal="center"/>
    </xf>
    <xf numFmtId="0" fontId="0" fillId="0" borderId="13" xfId="0"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wrapText="1"/>
    </xf>
    <xf numFmtId="0" fontId="0" fillId="0" borderId="0" xfId="0" applyAlignment="1"/>
    <xf numFmtId="1" fontId="0" fillId="0" borderId="2" xfId="0" applyNumberFormat="1" applyBorder="1" applyAlignment="1">
      <alignment horizontal="center"/>
    </xf>
    <xf numFmtId="0" fontId="0" fillId="0" borderId="2"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xf>
    <xf numFmtId="0" fontId="11" fillId="0" borderId="0" xfId="0" applyFont="1" applyAlignment="1">
      <alignment horizontal="left" vertical="center"/>
    </xf>
    <xf numFmtId="0" fontId="10" fillId="0" borderId="0" xfId="0" applyFont="1" applyAlignment="1">
      <alignment vertical="center"/>
    </xf>
    <xf numFmtId="166" fontId="11" fillId="0" borderId="0" xfId="0" applyNumberFormat="1" applyFont="1" applyFill="1" applyAlignment="1">
      <alignment horizontal="left" vertical="center"/>
    </xf>
    <xf numFmtId="0" fontId="0" fillId="0" borderId="5" xfId="0" applyFont="1" applyBorder="1" applyAlignment="1">
      <alignment horizontal="left"/>
    </xf>
    <xf numFmtId="0" fontId="0" fillId="0" borderId="6" xfId="0" applyFont="1" applyBorder="1" applyAlignment="1">
      <alignment horizontal="left"/>
    </xf>
    <xf numFmtId="0" fontId="11" fillId="0" borderId="0" xfId="0" applyNumberFormat="1" applyFont="1" applyFill="1" applyAlignment="1">
      <alignment horizontal="left" vertical="center"/>
    </xf>
    <xf numFmtId="0" fontId="0" fillId="0" borderId="5" xfId="0" applyFont="1" applyBorder="1" applyAlignment="1">
      <alignment horizontal="right"/>
    </xf>
    <xf numFmtId="0" fontId="0" fillId="0" borderId="6" xfId="0" applyFont="1" applyBorder="1" applyAlignment="1"/>
    <xf numFmtId="0" fontId="0" fillId="0" borderId="10" xfId="0" applyFont="1" applyBorder="1" applyAlignment="1">
      <alignment horizontal="right"/>
    </xf>
    <xf numFmtId="0" fontId="0" fillId="0" borderId="11" xfId="0" applyFont="1" applyBorder="1" applyAlignment="1"/>
    <xf numFmtId="0" fontId="2"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7" xfId="0" applyFont="1" applyBorder="1" applyAlignment="1"/>
    <xf numFmtId="0" fontId="4" fillId="0" borderId="0" xfId="0" applyNumberFormat="1" applyFont="1" applyFill="1" applyAlignment="1">
      <alignment horizontal="left" vertical="center"/>
    </xf>
    <xf numFmtId="0" fontId="0" fillId="0" borderId="0" xfId="0" applyNumberFormat="1" applyFill="1" applyAlignment="1">
      <alignment horizontal="left" vertical="center"/>
    </xf>
    <xf numFmtId="0" fontId="4" fillId="0" borderId="0" xfId="0" applyFont="1" applyFill="1" applyAlignment="1">
      <alignment horizontal="left" vertical="center"/>
    </xf>
    <xf numFmtId="0" fontId="0" fillId="0" borderId="0" xfId="0" applyFill="1" applyAlignment="1">
      <alignment horizontal="left" vertical="center"/>
    </xf>
    <xf numFmtId="0" fontId="11"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NumberFormat="1" applyFont="1" applyFill="1" applyAlignment="1">
      <alignment horizontal="left" vertical="center"/>
    </xf>
    <xf numFmtId="0" fontId="4" fillId="0" borderId="0" xfId="0" applyFont="1" applyAlignment="1">
      <alignment horizontal="center"/>
    </xf>
    <xf numFmtId="0" fontId="0" fillId="0" borderId="3" xfId="0" applyFont="1" applyBorder="1" applyAlignment="1">
      <alignment horizontal="right"/>
    </xf>
    <xf numFmtId="0" fontId="0" fillId="0" borderId="0" xfId="0" applyFont="1" applyBorder="1" applyAlignment="1"/>
    <xf numFmtId="0" fontId="0" fillId="0" borderId="3" xfId="0" applyFont="1" applyBorder="1" applyAlignment="1">
      <alignment horizontal="right" vertical="center"/>
    </xf>
    <xf numFmtId="0" fontId="0" fillId="0" borderId="0" xfId="0" applyFont="1" applyBorder="1" applyAlignment="1">
      <alignment horizontal="right" vertical="center"/>
    </xf>
    <xf numFmtId="0" fontId="0" fillId="0" borderId="16" xfId="0" applyFont="1" applyBorder="1" applyAlignment="1">
      <alignment horizontal="right" vertical="center"/>
    </xf>
    <xf numFmtId="0" fontId="0" fillId="0" borderId="4" xfId="0" applyFont="1" applyBorder="1" applyAlignment="1">
      <alignment horizontal="right" vertical="center"/>
    </xf>
    <xf numFmtId="0" fontId="0" fillId="0" borderId="8" xfId="0" applyFont="1" applyBorder="1" applyAlignment="1">
      <alignment horizontal="right" vertical="center"/>
    </xf>
    <xf numFmtId="0" fontId="0" fillId="0" borderId="14" xfId="0" applyFont="1" applyBorder="1" applyAlignment="1">
      <alignment horizontal="right" vertical="center"/>
    </xf>
  </cellXfs>
  <cellStyles count="2">
    <cellStyle name="Comma" xfId="1" builtinId="3"/>
    <cellStyle name="Normal" xfId="0" builtinId="0"/>
  </cellStyles>
  <dxfs count="0"/>
  <tableStyles count="0" defaultTableStyle="TableStyleMedium9" defaultPivotStyle="PivotStyleLight16"/>
  <colors>
    <mruColors>
      <color rgb="FFFABF8F"/>
      <color rgb="FFFFE38E"/>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511969</xdr:colOff>
      <xdr:row>39</xdr:row>
      <xdr:rowOff>-1</xdr:rowOff>
    </xdr:from>
    <xdr:to>
      <xdr:col>3</xdr:col>
      <xdr:colOff>130971</xdr:colOff>
      <xdr:row>41</xdr:row>
      <xdr:rowOff>71437</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rot="5400000" flipH="1" flipV="1">
          <a:off x="1553767" y="6816327"/>
          <a:ext cx="452438" cy="2024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0</xdr:row>
      <xdr:rowOff>0</xdr:rowOff>
    </xdr:from>
    <xdr:ext cx="5201772" cy="2095500"/>
    <xdr:pic>
      <xdr:nvPicPr>
        <xdr:cNvPr id="4" name="image1.png">
          <a:extLst>
            <a:ext uri="{FF2B5EF4-FFF2-40B4-BE49-F238E27FC236}">
              <a16:creationId xmlns:a16="http://schemas.microsoft.com/office/drawing/2014/main" id="{430D6CE0-6E54-C241-8F29-706558DDCFC4}"/>
            </a:ext>
          </a:extLst>
        </xdr:cNvPr>
        <xdr:cNvPicPr preferRelativeResize="0"/>
      </xdr:nvPicPr>
      <xdr:blipFill>
        <a:blip xmlns:r="http://schemas.openxmlformats.org/officeDocument/2006/relationships" r:embed="rId1" cstate="print"/>
        <a:stretch>
          <a:fillRect/>
        </a:stretch>
      </xdr:blipFill>
      <xdr:spPr>
        <a:xfrm>
          <a:off x="0" y="0"/>
          <a:ext cx="5201772" cy="2095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545503</xdr:colOff>
      <xdr:row>0</xdr:row>
      <xdr:rowOff>0</xdr:rowOff>
    </xdr:from>
    <xdr:ext cx="2602471" cy="1048389"/>
    <xdr:pic>
      <xdr:nvPicPr>
        <xdr:cNvPr id="3" name="image1.png">
          <a:extLst>
            <a:ext uri="{FF2B5EF4-FFF2-40B4-BE49-F238E27FC236}">
              <a16:creationId xmlns:a16="http://schemas.microsoft.com/office/drawing/2014/main" id="{BA6B080D-B4BC-DB49-8BC4-06AD5FC91B63}"/>
            </a:ext>
          </a:extLst>
        </xdr:cNvPr>
        <xdr:cNvPicPr preferRelativeResize="0"/>
      </xdr:nvPicPr>
      <xdr:blipFill>
        <a:blip xmlns:r="http://schemas.openxmlformats.org/officeDocument/2006/relationships" r:embed="rId1" cstate="print"/>
        <a:stretch>
          <a:fillRect/>
        </a:stretch>
      </xdr:blipFill>
      <xdr:spPr>
        <a:xfrm>
          <a:off x="2326912" y="0"/>
          <a:ext cx="2602471" cy="1048389"/>
        </a:xfrm>
        <a:prstGeom prst="rect">
          <a:avLst/>
        </a:prstGeom>
        <a:noFill/>
      </xdr:spPr>
    </xdr:pic>
    <xdr:clientData fLocksWithSheet="0"/>
  </xdr:oneCellAnchor>
  <xdr:oneCellAnchor>
    <xdr:from>
      <xdr:col>1</xdr:col>
      <xdr:colOff>169552</xdr:colOff>
      <xdr:row>62</xdr:row>
      <xdr:rowOff>74266</xdr:rowOff>
    </xdr:from>
    <xdr:ext cx="4782596" cy="1349157"/>
    <xdr:pic>
      <xdr:nvPicPr>
        <xdr:cNvPr id="4" name="image1.png">
          <a:extLst>
            <a:ext uri="{FF2B5EF4-FFF2-40B4-BE49-F238E27FC236}">
              <a16:creationId xmlns:a16="http://schemas.microsoft.com/office/drawing/2014/main" id="{4FED231F-F0F4-0F40-AD0A-A6547B217614}"/>
            </a:ext>
          </a:extLst>
        </xdr:cNvPr>
        <xdr:cNvPicPr preferRelativeResize="0"/>
      </xdr:nvPicPr>
      <xdr:blipFill>
        <a:blip xmlns:r="http://schemas.openxmlformats.org/officeDocument/2006/relationships" r:embed="rId2" cstate="print"/>
        <a:stretch>
          <a:fillRect/>
        </a:stretch>
      </xdr:blipFill>
      <xdr:spPr>
        <a:xfrm>
          <a:off x="604250" y="13456145"/>
          <a:ext cx="4782596" cy="1349157"/>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135"/>
  <sheetViews>
    <sheetView zoomScale="139" zoomScaleNormal="139" zoomScalePageLayoutView="80" workbookViewId="0">
      <selection activeCell="A2" sqref="A2:XFD2"/>
    </sheetView>
  </sheetViews>
  <sheetFormatPr baseColWidth="10" defaultColWidth="8.83203125" defaultRowHeight="15"/>
  <cols>
    <col min="1" max="8" width="8.6640625" customWidth="1"/>
    <col min="9" max="9" width="10.1640625" customWidth="1"/>
    <col min="10" max="19" width="8.6640625" customWidth="1"/>
    <col min="20" max="20" width="10.33203125" customWidth="1"/>
    <col min="21" max="84" width="8.6640625" customWidth="1"/>
  </cols>
  <sheetData>
    <row r="1" spans="1:84" s="105" customFormat="1" ht="172" customHeight="1"/>
    <row r="2" spans="1:84" ht="42" customHeight="1">
      <c r="A2" s="82" t="s">
        <v>127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row>
    <row r="3" spans="1:84" ht="91" customHeight="1">
      <c r="A3" s="164" t="s">
        <v>54</v>
      </c>
      <c r="B3" s="165"/>
      <c r="C3" s="165"/>
      <c r="D3" s="165"/>
      <c r="E3" s="165"/>
      <c r="F3" s="165"/>
      <c r="G3" s="165"/>
      <c r="H3" s="165"/>
      <c r="I3" s="165"/>
      <c r="J3" s="165"/>
      <c r="K3" s="165"/>
      <c r="L3" s="165"/>
      <c r="M3" s="165"/>
      <c r="N3" s="165"/>
      <c r="O3" s="165"/>
      <c r="P3" s="165"/>
      <c r="Q3" s="165"/>
      <c r="R3" s="165"/>
      <c r="S3" s="165"/>
      <c r="T3" s="165"/>
      <c r="U3" s="165"/>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row>
    <row r="4" spans="1:84" ht="27" customHeight="1">
      <c r="A4" s="83"/>
      <c r="B4" s="84"/>
      <c r="C4" s="84"/>
      <c r="D4" s="84"/>
      <c r="E4" s="84"/>
      <c r="F4" s="84"/>
      <c r="G4" s="84"/>
      <c r="H4" s="84"/>
      <c r="I4" s="84"/>
      <c r="J4" s="84"/>
      <c r="K4" s="84"/>
      <c r="L4" s="84"/>
      <c r="M4" s="84"/>
      <c r="N4" s="84"/>
      <c r="O4" s="91"/>
      <c r="P4" s="84"/>
      <c r="Q4" s="84"/>
      <c r="R4" s="84"/>
      <c r="S4" s="84"/>
      <c r="T4" s="84"/>
      <c r="U4" s="8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row>
    <row r="5" spans="1:84" ht="30" customHeight="1">
      <c r="A5" s="143" t="s">
        <v>37</v>
      </c>
      <c r="B5" s="185"/>
      <c r="C5" s="185"/>
      <c r="D5" s="183"/>
      <c r="E5" s="184"/>
      <c r="F5" s="184"/>
      <c r="G5" s="184"/>
      <c r="H5" s="184"/>
      <c r="I5" s="6"/>
      <c r="J5" s="87" t="s">
        <v>52</v>
      </c>
      <c r="K5" s="88"/>
      <c r="L5" s="48"/>
      <c r="M5" s="6"/>
      <c r="N5" s="7"/>
      <c r="O5" s="6"/>
      <c r="P5" s="6"/>
      <c r="Q5" s="7"/>
      <c r="R5" s="6"/>
      <c r="S5" s="6"/>
      <c r="T5" s="7"/>
      <c r="U5" s="6"/>
      <c r="V5" s="6"/>
      <c r="W5" s="7"/>
      <c r="X5" s="6"/>
      <c r="Y5" s="6"/>
      <c r="Z5" s="7"/>
      <c r="AA5" s="6"/>
      <c r="AB5" s="6"/>
      <c r="AC5" s="7"/>
      <c r="AD5" s="6"/>
      <c r="AE5" s="7"/>
      <c r="AF5" s="7"/>
      <c r="AG5" s="7"/>
      <c r="AH5" s="7"/>
      <c r="AI5" s="7"/>
      <c r="AJ5" s="7"/>
      <c r="AK5" s="7"/>
      <c r="AL5" s="7"/>
      <c r="AM5" s="7"/>
      <c r="AN5" s="7"/>
      <c r="AO5" s="7"/>
      <c r="AP5" s="7"/>
      <c r="AQ5" s="7"/>
      <c r="AR5" s="7"/>
      <c r="AS5" s="7"/>
      <c r="AT5" s="7"/>
      <c r="AU5" s="7"/>
      <c r="AV5" s="7"/>
      <c r="AW5" s="7"/>
      <c r="AX5" s="7"/>
      <c r="AY5" s="7"/>
      <c r="AZ5" s="6"/>
      <c r="BA5" s="7"/>
      <c r="BB5" s="6"/>
      <c r="BC5" s="6"/>
      <c r="BD5" s="7"/>
      <c r="BE5" s="6"/>
      <c r="BF5" s="6"/>
      <c r="BG5" s="7"/>
      <c r="BH5" s="6"/>
      <c r="BI5" s="7"/>
      <c r="BJ5" s="7"/>
      <c r="BK5" s="7"/>
      <c r="BL5" s="7"/>
      <c r="BM5" s="7"/>
      <c r="BN5" s="7"/>
      <c r="BO5" s="7"/>
      <c r="BP5" s="7"/>
      <c r="BQ5" s="7"/>
      <c r="BR5" s="7"/>
      <c r="BS5" s="7"/>
      <c r="BT5" s="7"/>
      <c r="BU5" s="7"/>
      <c r="BV5" s="7"/>
      <c r="BW5" s="7"/>
      <c r="BX5" s="7"/>
      <c r="BY5" s="7"/>
      <c r="BZ5" s="7"/>
      <c r="CA5" s="7"/>
      <c r="CB5" s="7"/>
      <c r="CC5" s="7"/>
      <c r="CD5" s="7"/>
      <c r="CE5" s="7"/>
      <c r="CF5" s="7"/>
    </row>
    <row r="6" spans="1:84" ht="30" customHeight="1">
      <c r="A6" s="143" t="s">
        <v>30</v>
      </c>
      <c r="B6" s="185"/>
      <c r="C6" s="185"/>
      <c r="D6" s="141"/>
      <c r="E6" s="142"/>
      <c r="F6" s="142"/>
      <c r="G6" s="142"/>
      <c r="H6" s="142"/>
      <c r="I6" s="8"/>
      <c r="J6" s="143" t="s">
        <v>34</v>
      </c>
      <c r="K6" s="143"/>
      <c r="L6" s="144"/>
      <c r="M6" s="144"/>
      <c r="N6" s="49"/>
      <c r="O6" s="141"/>
      <c r="P6" s="142"/>
      <c r="Q6" s="142"/>
      <c r="R6" s="142"/>
      <c r="S6" s="142"/>
      <c r="T6" s="142"/>
      <c r="U6" s="142"/>
      <c r="V6" s="8"/>
      <c r="W6" s="48"/>
      <c r="X6" s="8"/>
      <c r="Y6" s="8"/>
      <c r="Z6" s="48"/>
      <c r="AA6" s="8"/>
      <c r="AB6" s="8"/>
      <c r="AC6" s="48"/>
      <c r="AD6" s="8"/>
      <c r="AE6" s="53"/>
      <c r="AF6" s="53"/>
      <c r="AG6" s="53"/>
      <c r="AH6" s="53"/>
      <c r="AI6" s="53"/>
      <c r="AJ6" s="53"/>
      <c r="AK6" s="53"/>
      <c r="AL6" s="53"/>
      <c r="AM6" s="53"/>
      <c r="AN6" s="53"/>
      <c r="AO6" s="53"/>
      <c r="AP6" s="53"/>
      <c r="AQ6" s="75"/>
      <c r="AR6" s="75"/>
      <c r="AS6" s="75"/>
      <c r="AT6" s="53"/>
      <c r="AU6" s="53"/>
      <c r="AV6" s="53"/>
      <c r="AW6" s="53"/>
      <c r="AX6" s="53"/>
      <c r="AY6" s="53"/>
      <c r="AZ6" s="8"/>
      <c r="BA6" s="48"/>
      <c r="BB6" s="8"/>
      <c r="BC6" s="8"/>
      <c r="BD6" s="48"/>
      <c r="BE6" s="8"/>
      <c r="BF6" s="8"/>
      <c r="BG6" s="48"/>
      <c r="BH6" s="8"/>
      <c r="BI6" s="68"/>
      <c r="BJ6" s="68"/>
      <c r="BK6" s="68"/>
      <c r="BL6" s="68"/>
      <c r="BM6" s="68"/>
      <c r="BN6" s="68"/>
      <c r="BO6" s="68"/>
      <c r="BP6" s="68"/>
      <c r="BQ6" s="68"/>
      <c r="BR6" s="68"/>
      <c r="BS6" s="68"/>
      <c r="BT6" s="68"/>
      <c r="BU6" s="68"/>
      <c r="BV6" s="68"/>
      <c r="BW6" s="68"/>
      <c r="BX6" s="68"/>
      <c r="BY6" s="68"/>
      <c r="BZ6" s="68"/>
      <c r="CA6" s="68"/>
      <c r="CB6" s="68"/>
      <c r="CC6" s="68"/>
      <c r="CD6" s="68"/>
      <c r="CE6" s="68"/>
      <c r="CF6" s="68"/>
    </row>
    <row r="7" spans="1:84" ht="30" customHeight="1">
      <c r="A7" s="143" t="s">
        <v>31</v>
      </c>
      <c r="B7" s="185"/>
      <c r="C7" s="185"/>
      <c r="D7" s="141"/>
      <c r="E7" s="142"/>
      <c r="F7" s="142"/>
      <c r="G7" s="142"/>
      <c r="H7" s="142"/>
      <c r="I7" s="8"/>
      <c r="J7" s="141" t="s">
        <v>35</v>
      </c>
      <c r="K7" s="141"/>
      <c r="L7" s="142"/>
      <c r="M7" s="142"/>
      <c r="N7" s="86"/>
      <c r="O7" s="190" t="s">
        <v>38</v>
      </c>
      <c r="P7" s="142"/>
      <c r="Q7" s="142"/>
      <c r="R7" s="142"/>
      <c r="S7" s="142"/>
      <c r="T7" s="142"/>
      <c r="U7" s="142"/>
      <c r="V7" s="8"/>
      <c r="W7" s="48"/>
      <c r="X7" s="8"/>
      <c r="Y7" s="8"/>
      <c r="Z7" s="48"/>
      <c r="AA7" s="8"/>
      <c r="AB7" s="8"/>
      <c r="AC7" s="48"/>
      <c r="AD7" s="8"/>
      <c r="AE7" s="53"/>
      <c r="AF7" s="53"/>
      <c r="AG7" s="53"/>
      <c r="AH7" s="53"/>
      <c r="AI7" s="53"/>
      <c r="AJ7" s="53"/>
      <c r="AK7" s="53"/>
      <c r="AL7" s="53"/>
      <c r="AM7" s="53"/>
      <c r="AN7" s="53"/>
      <c r="AO7" s="53"/>
      <c r="AP7" s="53"/>
      <c r="AQ7" s="75"/>
      <c r="AR7" s="75"/>
      <c r="AS7" s="75"/>
      <c r="AT7" s="53"/>
      <c r="AU7" s="53"/>
      <c r="AV7" s="53"/>
      <c r="AW7" s="53"/>
      <c r="AX7" s="53"/>
      <c r="AY7" s="53"/>
      <c r="AZ7" s="8"/>
      <c r="BA7" s="48"/>
      <c r="BB7" s="8"/>
      <c r="BC7" s="8"/>
      <c r="BD7" s="48"/>
      <c r="BE7" s="8"/>
      <c r="BF7" s="8"/>
      <c r="BG7" s="48"/>
      <c r="BH7" s="8"/>
      <c r="BI7" s="68"/>
      <c r="BJ7" s="68"/>
      <c r="BK7" s="68"/>
      <c r="BL7" s="68"/>
      <c r="BM7" s="68"/>
      <c r="BN7" s="68"/>
      <c r="BO7" s="68"/>
      <c r="BP7" s="68"/>
      <c r="BQ7" s="68"/>
      <c r="BR7" s="68"/>
      <c r="BS7" s="68"/>
      <c r="BT7" s="68"/>
      <c r="BU7" s="68"/>
      <c r="BV7" s="68"/>
      <c r="BW7" s="68"/>
      <c r="BX7" s="68"/>
      <c r="BY7" s="68"/>
      <c r="BZ7" s="68"/>
      <c r="CA7" s="68"/>
      <c r="CB7" s="68"/>
      <c r="CC7" s="68"/>
      <c r="CD7" s="68"/>
      <c r="CE7" s="68"/>
      <c r="CF7" s="68"/>
    </row>
    <row r="8" spans="1:84" ht="30" customHeight="1">
      <c r="A8" s="143" t="s">
        <v>33</v>
      </c>
      <c r="B8" s="185"/>
      <c r="C8" s="185"/>
      <c r="D8" s="141"/>
      <c r="E8" s="142"/>
      <c r="F8" s="142"/>
      <c r="G8" s="142"/>
      <c r="H8" s="142"/>
      <c r="I8" s="8"/>
      <c r="J8" s="141" t="s">
        <v>36</v>
      </c>
      <c r="K8" s="141"/>
      <c r="L8" s="141"/>
      <c r="M8" s="141"/>
      <c r="N8" s="86"/>
      <c r="O8" s="190" t="s">
        <v>38</v>
      </c>
      <c r="P8" s="190"/>
      <c r="Q8" s="190"/>
      <c r="R8" s="190"/>
      <c r="S8" s="190"/>
      <c r="T8" s="190"/>
      <c r="U8" s="190"/>
      <c r="V8" s="8"/>
      <c r="W8" s="48"/>
      <c r="X8" s="8"/>
      <c r="Y8" s="8"/>
      <c r="Z8" s="48"/>
      <c r="AA8" s="8"/>
      <c r="AB8" s="8"/>
      <c r="AC8" s="48"/>
      <c r="AD8" s="8"/>
      <c r="AE8" s="53"/>
      <c r="AF8" s="53"/>
      <c r="AG8" s="53"/>
      <c r="AH8" s="53"/>
      <c r="AI8" s="53"/>
      <c r="AJ8" s="53"/>
      <c r="AK8" s="53"/>
      <c r="AL8" s="53"/>
      <c r="AM8" s="53"/>
      <c r="AN8" s="53"/>
      <c r="AO8" s="53"/>
      <c r="AP8" s="53"/>
      <c r="AQ8" s="75"/>
      <c r="AR8" s="75"/>
      <c r="AS8" s="75"/>
      <c r="AT8" s="53"/>
      <c r="AU8" s="53"/>
      <c r="AV8" s="53"/>
      <c r="AW8" s="53"/>
      <c r="AX8" s="53"/>
      <c r="AY8" s="53"/>
      <c r="AZ8" s="8"/>
      <c r="BA8" s="48"/>
      <c r="BB8" s="8"/>
      <c r="BC8" s="8"/>
      <c r="BD8" s="48"/>
      <c r="BE8" s="8"/>
      <c r="BF8" s="8"/>
      <c r="BG8" s="48"/>
      <c r="BH8" s="8"/>
      <c r="BI8" s="68"/>
      <c r="BJ8" s="68"/>
      <c r="BK8" s="68"/>
      <c r="BL8" s="68"/>
      <c r="BM8" s="68"/>
      <c r="BN8" s="68"/>
      <c r="BO8" s="68"/>
      <c r="BP8" s="68"/>
      <c r="BQ8" s="68"/>
      <c r="BR8" s="68"/>
      <c r="BS8" s="68"/>
      <c r="BT8" s="68"/>
      <c r="BU8" s="68"/>
      <c r="BV8" s="68"/>
      <c r="BW8" s="68"/>
      <c r="BX8" s="68"/>
      <c r="BY8" s="68"/>
      <c r="BZ8" s="68"/>
      <c r="CA8" s="68"/>
      <c r="CB8" s="68"/>
      <c r="CC8" s="68"/>
      <c r="CD8" s="68"/>
      <c r="CE8" s="68"/>
      <c r="CF8" s="68"/>
    </row>
    <row r="9" spans="1:84" ht="30" customHeight="1">
      <c r="A9" s="143" t="s">
        <v>32</v>
      </c>
      <c r="B9" s="185"/>
      <c r="C9" s="185"/>
      <c r="D9" s="141"/>
      <c r="E9" s="142"/>
      <c r="F9" s="142"/>
      <c r="G9" s="142"/>
      <c r="H9" s="142"/>
      <c r="I9" s="8"/>
      <c r="J9" s="188" t="s">
        <v>87</v>
      </c>
      <c r="K9" s="188"/>
      <c r="L9" s="189"/>
      <c r="M9" s="189"/>
      <c r="N9" s="188" t="s">
        <v>90</v>
      </c>
      <c r="O9" s="192"/>
      <c r="P9" s="89"/>
      <c r="Q9" s="69" t="s">
        <v>92</v>
      </c>
      <c r="R9" s="89">
        <v>3600</v>
      </c>
      <c r="S9" s="69" t="s">
        <v>88</v>
      </c>
      <c r="T9" s="90">
        <f>+P9*R9</f>
        <v>0</v>
      </c>
      <c r="U9" s="87" t="s">
        <v>89</v>
      </c>
      <c r="V9" s="8"/>
      <c r="W9" s="48"/>
      <c r="X9" s="8"/>
      <c r="Y9" s="8"/>
      <c r="Z9" s="48"/>
      <c r="AA9" s="8"/>
      <c r="AB9" s="8"/>
      <c r="AC9" s="48"/>
      <c r="AD9" s="8"/>
      <c r="AE9" s="53"/>
      <c r="AF9" s="53"/>
      <c r="AG9" s="53"/>
      <c r="AH9" s="53"/>
      <c r="AI9" s="53"/>
      <c r="AJ9" s="53"/>
      <c r="AK9" s="53"/>
      <c r="AL9" s="53"/>
      <c r="AM9" s="53"/>
      <c r="AN9" s="53"/>
      <c r="AO9" s="53"/>
      <c r="AP9" s="53"/>
      <c r="AQ9" s="75"/>
      <c r="AR9" s="75"/>
      <c r="AS9" s="75"/>
      <c r="AT9" s="53"/>
      <c r="AU9" s="53"/>
      <c r="AV9" s="53"/>
      <c r="AW9" s="53"/>
      <c r="AX9" s="53"/>
      <c r="AY9" s="53"/>
      <c r="AZ9" s="8"/>
      <c r="BA9" s="48"/>
      <c r="BB9" s="8"/>
      <c r="BC9" s="8"/>
      <c r="BD9" s="48"/>
      <c r="BE9" s="8"/>
      <c r="BF9" s="8"/>
      <c r="BG9" s="48"/>
      <c r="BH9" s="8"/>
      <c r="BI9" s="68"/>
      <c r="BJ9" s="68"/>
      <c r="BK9" s="68"/>
      <c r="BL9" s="68"/>
      <c r="BM9" s="68"/>
      <c r="BN9" s="68"/>
      <c r="BO9" s="68"/>
      <c r="BP9" s="68"/>
      <c r="BQ9" s="68"/>
      <c r="BR9" s="68"/>
      <c r="BS9" s="68"/>
      <c r="BT9" s="68"/>
      <c r="BU9" s="68"/>
      <c r="BV9" s="68"/>
      <c r="BW9" s="68"/>
      <c r="BX9" s="68"/>
      <c r="BY9" s="68"/>
      <c r="BZ9" s="68"/>
      <c r="CA9" s="68"/>
      <c r="CB9" s="68"/>
      <c r="CC9" s="68"/>
      <c r="CD9" s="68"/>
      <c r="CE9" s="68"/>
      <c r="CF9" s="68"/>
    </row>
    <row r="10" spans="1:84" ht="33" customHeight="1">
      <c r="A10" s="59"/>
      <c r="B10" s="60"/>
      <c r="C10" s="60"/>
      <c r="D10" s="85"/>
      <c r="E10" s="86"/>
      <c r="F10" s="86"/>
      <c r="G10" s="86"/>
      <c r="H10" s="86"/>
      <c r="I10" s="59"/>
      <c r="J10" s="193" t="s">
        <v>132</v>
      </c>
      <c r="K10" s="193"/>
      <c r="L10" s="194"/>
      <c r="M10" s="194"/>
      <c r="N10" s="195"/>
      <c r="O10" s="195"/>
      <c r="P10" s="195"/>
      <c r="Q10" s="195"/>
      <c r="R10" s="195"/>
      <c r="S10" s="195"/>
      <c r="T10" s="195"/>
      <c r="U10" s="195"/>
      <c r="V10" s="59"/>
      <c r="W10" s="59"/>
      <c r="X10" s="59"/>
      <c r="Y10" s="59"/>
      <c r="Z10" s="59"/>
      <c r="AA10" s="59"/>
      <c r="AB10" s="59"/>
      <c r="AC10" s="59"/>
      <c r="AD10" s="59"/>
      <c r="AE10" s="59"/>
      <c r="AF10" s="59"/>
      <c r="AG10" s="59"/>
      <c r="AH10" s="59"/>
      <c r="AI10" s="59"/>
      <c r="AJ10" s="59"/>
      <c r="AK10" s="59"/>
      <c r="AL10" s="59"/>
      <c r="AM10" s="59"/>
      <c r="AN10" s="59"/>
      <c r="AO10" s="59"/>
      <c r="AP10" s="59"/>
      <c r="AQ10" s="75"/>
      <c r="AR10" s="75"/>
      <c r="AS10" s="75"/>
      <c r="AT10" s="59"/>
      <c r="AU10" s="59"/>
      <c r="AV10" s="59"/>
      <c r="AW10" s="59"/>
      <c r="AX10" s="59"/>
      <c r="AY10" s="59"/>
      <c r="AZ10" s="59"/>
      <c r="BA10" s="59"/>
      <c r="BB10" s="59"/>
      <c r="BC10" s="59"/>
      <c r="BD10" s="59"/>
      <c r="BE10" s="59"/>
      <c r="BF10" s="59"/>
      <c r="BG10" s="59"/>
      <c r="BH10" s="59"/>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row>
    <row r="12" spans="1:84" ht="15" customHeight="1">
      <c r="A12" s="145" t="s">
        <v>5</v>
      </c>
      <c r="B12" s="146"/>
      <c r="C12" s="146"/>
      <c r="D12" s="147"/>
      <c r="E12" s="145" t="s">
        <v>8</v>
      </c>
      <c r="F12" s="148"/>
      <c r="G12" s="148"/>
      <c r="H12" s="148"/>
      <c r="I12" s="149"/>
      <c r="J12" s="171" t="s">
        <v>17</v>
      </c>
      <c r="K12" s="171"/>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row>
    <row r="13" spans="1:84" ht="15" customHeight="1">
      <c r="A13" s="152" t="s">
        <v>29</v>
      </c>
      <c r="B13" s="148"/>
      <c r="C13" s="148"/>
      <c r="D13" s="94">
        <v>120</v>
      </c>
      <c r="E13" s="152" t="s">
        <v>6</v>
      </c>
      <c r="F13" s="148"/>
      <c r="G13" s="148"/>
      <c r="H13" s="148"/>
      <c r="I13" s="92">
        <f>+(((D$16*D$17)+4*((($D$17+$D$19)/2)*(($D$16+$D$18)/2))+(D$18*D$19))/6)*D$15</f>
        <v>230000</v>
      </c>
      <c r="J13" s="191" t="s">
        <v>28</v>
      </c>
      <c r="K13" s="191"/>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row>
    <row r="14" spans="1:84" ht="15" customHeight="1">
      <c r="A14" s="152" t="s">
        <v>27</v>
      </c>
      <c r="B14" s="148"/>
      <c r="C14" s="148"/>
      <c r="D14" s="94">
        <v>48</v>
      </c>
      <c r="E14" s="152"/>
      <c r="F14" s="148"/>
      <c r="G14" s="148"/>
      <c r="H14" s="148"/>
      <c r="I14" s="93"/>
      <c r="J14" s="42"/>
      <c r="K14" s="50"/>
      <c r="L14" s="43"/>
      <c r="M14" s="44"/>
      <c r="N14" s="51"/>
      <c r="O14" s="43"/>
      <c r="P14" s="44"/>
      <c r="Q14" s="51"/>
      <c r="R14" s="43"/>
      <c r="S14" s="44"/>
      <c r="T14" s="51"/>
      <c r="U14" s="43"/>
      <c r="V14" s="44"/>
      <c r="W14" s="51"/>
      <c r="X14" s="56"/>
      <c r="Y14" s="51"/>
      <c r="Z14" s="51"/>
      <c r="AA14" s="43"/>
      <c r="AB14" s="44"/>
      <c r="AC14" s="51"/>
      <c r="AD14" s="43"/>
      <c r="AE14" s="51"/>
      <c r="AF14" s="51"/>
      <c r="AG14" s="43"/>
      <c r="AH14" s="44"/>
      <c r="AI14" s="51"/>
      <c r="AJ14" s="56"/>
      <c r="AK14" s="44"/>
      <c r="AL14" s="51"/>
      <c r="AM14" s="43"/>
      <c r="AN14" s="44"/>
      <c r="AO14" s="51"/>
      <c r="AP14" s="43"/>
      <c r="AQ14" s="51"/>
      <c r="AR14" s="51"/>
      <c r="AS14" s="43"/>
      <c r="AT14" s="51"/>
      <c r="AU14" s="51"/>
      <c r="AV14" s="43"/>
      <c r="AW14" s="44"/>
      <c r="AX14" s="51"/>
      <c r="AY14" s="56"/>
      <c r="AZ14" s="44"/>
      <c r="BA14" s="51"/>
      <c r="BB14" s="43"/>
      <c r="BC14" s="44"/>
      <c r="BD14" s="51"/>
      <c r="BE14" s="43"/>
      <c r="BF14" s="44"/>
      <c r="BG14" s="51"/>
      <c r="BH14" s="43"/>
      <c r="BI14" s="44"/>
      <c r="BJ14" s="51"/>
      <c r="BK14" s="43"/>
      <c r="BL14" s="44"/>
      <c r="BM14" s="51"/>
      <c r="BN14" s="51"/>
      <c r="BO14" s="72"/>
      <c r="BP14" s="51"/>
      <c r="BQ14" s="43"/>
      <c r="BR14" s="44"/>
      <c r="BS14" s="51"/>
      <c r="BT14" s="43"/>
      <c r="BU14" s="44"/>
      <c r="BV14" s="51"/>
      <c r="BW14" s="43"/>
      <c r="BX14" s="44"/>
      <c r="BY14" s="51"/>
      <c r="BZ14" s="43"/>
      <c r="CA14" s="44"/>
      <c r="CB14" s="51"/>
      <c r="CC14" s="51"/>
      <c r="CD14" s="72"/>
      <c r="CE14" s="51"/>
      <c r="CF14" s="43"/>
    </row>
    <row r="15" spans="1:84" ht="15" customHeight="1">
      <c r="A15" s="152" t="s">
        <v>1</v>
      </c>
      <c r="B15" s="148"/>
      <c r="C15" s="148"/>
      <c r="D15" s="94">
        <v>6</v>
      </c>
      <c r="E15" s="152" t="s">
        <v>7</v>
      </c>
      <c r="F15" s="148"/>
      <c r="G15" s="148"/>
      <c r="H15" s="148"/>
      <c r="I15" s="81">
        <f>+I13*7.48</f>
        <v>1720400</v>
      </c>
      <c r="J15" s="158" t="s">
        <v>82</v>
      </c>
      <c r="K15" s="159"/>
      <c r="L15" s="160"/>
      <c r="M15" s="158" t="s">
        <v>57</v>
      </c>
      <c r="N15" s="159"/>
      <c r="O15" s="160"/>
      <c r="P15" s="158" t="s">
        <v>58</v>
      </c>
      <c r="Q15" s="159"/>
      <c r="R15" s="160"/>
      <c r="S15" s="158" t="s">
        <v>63</v>
      </c>
      <c r="T15" s="159"/>
      <c r="U15" s="160"/>
      <c r="V15" s="158" t="s">
        <v>81</v>
      </c>
      <c r="W15" s="159"/>
      <c r="X15" s="175"/>
      <c r="Y15" s="159" t="s">
        <v>65</v>
      </c>
      <c r="Z15" s="159"/>
      <c r="AA15" s="160"/>
      <c r="AB15" s="158" t="s">
        <v>72</v>
      </c>
      <c r="AC15" s="159"/>
      <c r="AD15" s="160"/>
      <c r="AE15" s="159" t="s">
        <v>67</v>
      </c>
      <c r="AF15" s="159"/>
      <c r="AG15" s="160"/>
      <c r="AH15" s="158" t="s">
        <v>80</v>
      </c>
      <c r="AI15" s="159"/>
      <c r="AJ15" s="175"/>
      <c r="AK15" s="158" t="s">
        <v>71</v>
      </c>
      <c r="AL15" s="159"/>
      <c r="AM15" s="160"/>
      <c r="AN15" s="158" t="s">
        <v>70</v>
      </c>
      <c r="AO15" s="159"/>
      <c r="AP15" s="160"/>
      <c r="AQ15" s="159" t="s">
        <v>73</v>
      </c>
      <c r="AR15" s="159"/>
      <c r="AS15" s="160"/>
      <c r="AT15" s="159" t="s">
        <v>121</v>
      </c>
      <c r="AU15" s="159"/>
      <c r="AV15" s="160"/>
      <c r="AW15" s="158" t="s">
        <v>79</v>
      </c>
      <c r="AX15" s="159"/>
      <c r="AY15" s="175"/>
      <c r="AZ15" s="128" t="s">
        <v>93</v>
      </c>
      <c r="BA15" s="107"/>
      <c r="BB15" s="129"/>
      <c r="BC15" s="128" t="s">
        <v>94</v>
      </c>
      <c r="BD15" s="107"/>
      <c r="BE15" s="129"/>
      <c r="BF15" s="128" t="s">
        <v>95</v>
      </c>
      <c r="BG15" s="107"/>
      <c r="BH15" s="129"/>
      <c r="BI15" s="128" t="s">
        <v>96</v>
      </c>
      <c r="BJ15" s="107"/>
      <c r="BK15" s="129"/>
      <c r="BL15" s="128" t="s">
        <v>98</v>
      </c>
      <c r="BM15" s="107"/>
      <c r="BN15" s="138"/>
      <c r="BO15" s="106" t="s">
        <v>97</v>
      </c>
      <c r="BP15" s="107"/>
      <c r="BQ15" s="129"/>
      <c r="BR15" s="128" t="s">
        <v>99</v>
      </c>
      <c r="BS15" s="107"/>
      <c r="BT15" s="129"/>
      <c r="BU15" s="128" t="s">
        <v>101</v>
      </c>
      <c r="BV15" s="107"/>
      <c r="BW15" s="129"/>
      <c r="BX15" s="128" t="s">
        <v>126</v>
      </c>
      <c r="BY15" s="107"/>
      <c r="BZ15" s="129"/>
      <c r="CA15" s="128" t="s">
        <v>100</v>
      </c>
      <c r="CB15" s="107"/>
      <c r="CC15" s="133"/>
      <c r="CD15" s="106" t="s">
        <v>125</v>
      </c>
      <c r="CE15" s="107"/>
      <c r="CF15" s="108"/>
    </row>
    <row r="16" spans="1:84" ht="15" customHeight="1">
      <c r="A16" s="152" t="s">
        <v>0</v>
      </c>
      <c r="B16" s="148"/>
      <c r="C16" s="148"/>
      <c r="D16" s="94">
        <v>300</v>
      </c>
      <c r="E16" s="186" t="s">
        <v>16</v>
      </c>
      <c r="F16" s="187"/>
      <c r="G16" s="187"/>
      <c r="H16" s="187"/>
      <c r="I16" s="45">
        <v>20</v>
      </c>
      <c r="J16" s="161"/>
      <c r="K16" s="162"/>
      <c r="L16" s="163"/>
      <c r="M16" s="161"/>
      <c r="N16" s="162"/>
      <c r="O16" s="163"/>
      <c r="P16" s="161"/>
      <c r="Q16" s="162"/>
      <c r="R16" s="163"/>
      <c r="S16" s="161"/>
      <c r="T16" s="162"/>
      <c r="U16" s="163"/>
      <c r="V16" s="161"/>
      <c r="W16" s="162"/>
      <c r="X16" s="176"/>
      <c r="Y16" s="162"/>
      <c r="Z16" s="162"/>
      <c r="AA16" s="163"/>
      <c r="AB16" s="161"/>
      <c r="AC16" s="162"/>
      <c r="AD16" s="163"/>
      <c r="AE16" s="162"/>
      <c r="AF16" s="162"/>
      <c r="AG16" s="163"/>
      <c r="AH16" s="161"/>
      <c r="AI16" s="162"/>
      <c r="AJ16" s="176"/>
      <c r="AK16" s="161"/>
      <c r="AL16" s="162"/>
      <c r="AM16" s="163"/>
      <c r="AN16" s="161"/>
      <c r="AO16" s="162"/>
      <c r="AP16" s="163"/>
      <c r="AQ16" s="162"/>
      <c r="AR16" s="162"/>
      <c r="AS16" s="163"/>
      <c r="AT16" s="162"/>
      <c r="AU16" s="162"/>
      <c r="AV16" s="163"/>
      <c r="AW16" s="161"/>
      <c r="AX16" s="162"/>
      <c r="AY16" s="176"/>
      <c r="AZ16" s="130"/>
      <c r="BA16" s="131"/>
      <c r="BB16" s="132"/>
      <c r="BC16" s="130"/>
      <c r="BD16" s="131"/>
      <c r="BE16" s="132"/>
      <c r="BF16" s="130"/>
      <c r="BG16" s="131"/>
      <c r="BH16" s="132"/>
      <c r="BI16" s="130"/>
      <c r="BJ16" s="131"/>
      <c r="BK16" s="132"/>
      <c r="BL16" s="130"/>
      <c r="BM16" s="131"/>
      <c r="BN16" s="139"/>
      <c r="BO16" s="140"/>
      <c r="BP16" s="139"/>
      <c r="BQ16" s="132"/>
      <c r="BR16" s="130"/>
      <c r="BS16" s="131"/>
      <c r="BT16" s="132"/>
      <c r="BU16" s="130"/>
      <c r="BV16" s="131"/>
      <c r="BW16" s="132"/>
      <c r="BX16" s="130"/>
      <c r="BY16" s="131"/>
      <c r="BZ16" s="132"/>
      <c r="CA16" s="134"/>
      <c r="CB16" s="135"/>
      <c r="CC16" s="110"/>
      <c r="CD16" s="109"/>
      <c r="CE16" s="110"/>
      <c r="CF16" s="111"/>
    </row>
    <row r="17" spans="1:84" ht="15" customHeight="1">
      <c r="A17" s="152" t="s">
        <v>2</v>
      </c>
      <c r="B17" s="148"/>
      <c r="C17" s="148"/>
      <c r="D17" s="94">
        <v>200</v>
      </c>
      <c r="E17" s="150" t="s">
        <v>9</v>
      </c>
      <c r="F17" s="151"/>
      <c r="G17" s="151"/>
      <c r="H17" s="151"/>
      <c r="I17" s="46">
        <f>+D15*12/I16</f>
        <v>3.6</v>
      </c>
      <c r="J17" s="136" t="s">
        <v>19</v>
      </c>
      <c r="K17" s="113"/>
      <c r="L17" s="182"/>
      <c r="M17" s="136" t="s">
        <v>19</v>
      </c>
      <c r="N17" s="113"/>
      <c r="O17" s="114"/>
      <c r="P17" s="136" t="s">
        <v>19</v>
      </c>
      <c r="Q17" s="113"/>
      <c r="R17" s="114"/>
      <c r="S17" s="136" t="s">
        <v>19</v>
      </c>
      <c r="T17" s="113"/>
      <c r="U17" s="114"/>
      <c r="V17" s="136" t="s">
        <v>19</v>
      </c>
      <c r="W17" s="113"/>
      <c r="X17" s="177"/>
      <c r="Y17" s="113" t="s">
        <v>19</v>
      </c>
      <c r="Z17" s="113"/>
      <c r="AA17" s="114"/>
      <c r="AB17" s="136" t="s">
        <v>19</v>
      </c>
      <c r="AC17" s="113"/>
      <c r="AD17" s="114"/>
      <c r="AE17" s="113" t="s">
        <v>19</v>
      </c>
      <c r="AF17" s="113"/>
      <c r="AG17" s="114"/>
      <c r="AH17" s="136" t="s">
        <v>19</v>
      </c>
      <c r="AI17" s="113"/>
      <c r="AJ17" s="177"/>
      <c r="AK17" s="136" t="s">
        <v>19</v>
      </c>
      <c r="AL17" s="113"/>
      <c r="AM17" s="114"/>
      <c r="AN17" s="136" t="s">
        <v>19</v>
      </c>
      <c r="AO17" s="113"/>
      <c r="AP17" s="114"/>
      <c r="AQ17" s="113" t="s">
        <v>19</v>
      </c>
      <c r="AR17" s="113"/>
      <c r="AS17" s="114"/>
      <c r="AT17" s="113" t="s">
        <v>19</v>
      </c>
      <c r="AU17" s="113"/>
      <c r="AV17" s="114"/>
      <c r="AW17" s="136" t="s">
        <v>19</v>
      </c>
      <c r="AX17" s="113"/>
      <c r="AY17" s="177"/>
      <c r="AZ17" s="136" t="s">
        <v>19</v>
      </c>
      <c r="BA17" s="113"/>
      <c r="BB17" s="114"/>
      <c r="BC17" s="136" t="s">
        <v>19</v>
      </c>
      <c r="BD17" s="113"/>
      <c r="BE17" s="114"/>
      <c r="BF17" s="136" t="s">
        <v>19</v>
      </c>
      <c r="BG17" s="113"/>
      <c r="BH17" s="114"/>
      <c r="BI17" s="136" t="s">
        <v>19</v>
      </c>
      <c r="BJ17" s="113"/>
      <c r="BK17" s="114"/>
      <c r="BL17" s="136" t="s">
        <v>19</v>
      </c>
      <c r="BM17" s="113"/>
      <c r="BN17" s="137"/>
      <c r="BO17" s="112" t="s">
        <v>19</v>
      </c>
      <c r="BP17" s="113"/>
      <c r="BQ17" s="114"/>
      <c r="BR17" s="136" t="s">
        <v>19</v>
      </c>
      <c r="BS17" s="113"/>
      <c r="BT17" s="114"/>
      <c r="BU17" s="136" t="s">
        <v>19</v>
      </c>
      <c r="BV17" s="113"/>
      <c r="BW17" s="114"/>
      <c r="BX17" s="136" t="s">
        <v>19</v>
      </c>
      <c r="BY17" s="113"/>
      <c r="BZ17" s="114"/>
      <c r="CA17" s="136" t="s">
        <v>19</v>
      </c>
      <c r="CB17" s="113"/>
      <c r="CC17" s="137"/>
      <c r="CD17" s="112" t="s">
        <v>19</v>
      </c>
      <c r="CE17" s="113"/>
      <c r="CF17" s="114"/>
    </row>
    <row r="18" spans="1:84" ht="15" customHeight="1">
      <c r="A18" s="152" t="s">
        <v>3</v>
      </c>
      <c r="B18" s="148"/>
      <c r="C18" s="148"/>
      <c r="D18" s="94">
        <v>200</v>
      </c>
      <c r="E18" s="167" t="s">
        <v>25</v>
      </c>
      <c r="F18" s="168"/>
      <c r="G18" s="168"/>
      <c r="H18" s="168"/>
      <c r="I18" s="168"/>
      <c r="J18" s="124" t="s">
        <v>59</v>
      </c>
      <c r="K18" s="116"/>
      <c r="L18" s="178"/>
      <c r="M18" s="124" t="s">
        <v>60</v>
      </c>
      <c r="N18" s="116"/>
      <c r="O18" s="117"/>
      <c r="P18" s="124" t="s">
        <v>61</v>
      </c>
      <c r="Q18" s="116"/>
      <c r="R18" s="117"/>
      <c r="S18" s="124" t="s">
        <v>62</v>
      </c>
      <c r="T18" s="116"/>
      <c r="U18" s="117"/>
      <c r="V18" s="124" t="s">
        <v>64</v>
      </c>
      <c r="W18" s="116"/>
      <c r="X18" s="173"/>
      <c r="Y18" s="116" t="s">
        <v>66</v>
      </c>
      <c r="Z18" s="116"/>
      <c r="AA18" s="117"/>
      <c r="AB18" s="124" t="s">
        <v>68</v>
      </c>
      <c r="AC18" s="116"/>
      <c r="AD18" s="117"/>
      <c r="AE18" s="116" t="s">
        <v>120</v>
      </c>
      <c r="AF18" s="116"/>
      <c r="AG18" s="117"/>
      <c r="AH18" s="124" t="s">
        <v>69</v>
      </c>
      <c r="AI18" s="116"/>
      <c r="AJ18" s="173"/>
      <c r="AK18" s="124" t="s">
        <v>83</v>
      </c>
      <c r="AL18" s="116"/>
      <c r="AM18" s="117"/>
      <c r="AN18" s="124" t="s">
        <v>84</v>
      </c>
      <c r="AO18" s="116"/>
      <c r="AP18" s="117"/>
      <c r="AQ18" s="116" t="s">
        <v>122</v>
      </c>
      <c r="AR18" s="116"/>
      <c r="AS18" s="117"/>
      <c r="AT18" s="116" t="s">
        <v>85</v>
      </c>
      <c r="AU18" s="116"/>
      <c r="AV18" s="117"/>
      <c r="AW18" s="124" t="s">
        <v>86</v>
      </c>
      <c r="AX18" s="116"/>
      <c r="AY18" s="173"/>
      <c r="AZ18" s="124" t="s">
        <v>102</v>
      </c>
      <c r="BA18" s="116"/>
      <c r="BB18" s="117"/>
      <c r="BC18" s="124" t="s">
        <v>103</v>
      </c>
      <c r="BD18" s="116"/>
      <c r="BE18" s="117"/>
      <c r="BF18" s="124" t="s">
        <v>104</v>
      </c>
      <c r="BG18" s="116"/>
      <c r="BH18" s="117"/>
      <c r="BI18" s="124" t="s">
        <v>105</v>
      </c>
      <c r="BJ18" s="116"/>
      <c r="BK18" s="117"/>
      <c r="BL18" s="124" t="s">
        <v>106</v>
      </c>
      <c r="BM18" s="116"/>
      <c r="BN18" s="126"/>
      <c r="BO18" s="115" t="s">
        <v>107</v>
      </c>
      <c r="BP18" s="116"/>
      <c r="BQ18" s="117"/>
      <c r="BR18" s="124" t="s">
        <v>123</v>
      </c>
      <c r="BS18" s="116"/>
      <c r="BT18" s="117"/>
      <c r="BU18" s="124" t="s">
        <v>124</v>
      </c>
      <c r="BV18" s="116"/>
      <c r="BW18" s="117"/>
      <c r="BX18" s="124" t="s">
        <v>108</v>
      </c>
      <c r="BY18" s="116"/>
      <c r="BZ18" s="117"/>
      <c r="CA18" s="124" t="s">
        <v>109</v>
      </c>
      <c r="CB18" s="116"/>
      <c r="CC18" s="126"/>
      <c r="CD18" s="115" t="s">
        <v>110</v>
      </c>
      <c r="CE18" s="116"/>
      <c r="CF18" s="117"/>
    </row>
    <row r="19" spans="1:84" ht="15" customHeight="1">
      <c r="A19" s="152" t="s">
        <v>4</v>
      </c>
      <c r="B19" s="148"/>
      <c r="C19" s="148"/>
      <c r="D19" s="94">
        <v>100</v>
      </c>
      <c r="E19" s="169"/>
      <c r="F19" s="170"/>
      <c r="G19" s="170"/>
      <c r="H19" s="170"/>
      <c r="I19" s="170"/>
      <c r="J19" s="179"/>
      <c r="K19" s="180"/>
      <c r="L19" s="181"/>
      <c r="M19" s="125"/>
      <c r="N19" s="119"/>
      <c r="O19" s="120"/>
      <c r="P19" s="125"/>
      <c r="Q19" s="119"/>
      <c r="R19" s="120"/>
      <c r="S19" s="125"/>
      <c r="T19" s="119"/>
      <c r="U19" s="120"/>
      <c r="V19" s="125"/>
      <c r="W19" s="119"/>
      <c r="X19" s="174"/>
      <c r="Y19" s="119"/>
      <c r="Z19" s="119"/>
      <c r="AA19" s="120"/>
      <c r="AB19" s="125"/>
      <c r="AC19" s="119"/>
      <c r="AD19" s="120"/>
      <c r="AE19" s="119"/>
      <c r="AF19" s="119"/>
      <c r="AG19" s="120"/>
      <c r="AH19" s="125"/>
      <c r="AI19" s="119"/>
      <c r="AJ19" s="174"/>
      <c r="AK19" s="125"/>
      <c r="AL19" s="119"/>
      <c r="AM19" s="120"/>
      <c r="AN19" s="125"/>
      <c r="AO19" s="119"/>
      <c r="AP19" s="120"/>
      <c r="AQ19" s="119"/>
      <c r="AR19" s="119"/>
      <c r="AS19" s="120"/>
      <c r="AT19" s="119"/>
      <c r="AU19" s="119"/>
      <c r="AV19" s="120"/>
      <c r="AW19" s="125"/>
      <c r="AX19" s="119"/>
      <c r="AY19" s="174"/>
      <c r="AZ19" s="125"/>
      <c r="BA19" s="119"/>
      <c r="BB19" s="120"/>
      <c r="BC19" s="125"/>
      <c r="BD19" s="119"/>
      <c r="BE19" s="120"/>
      <c r="BF19" s="125"/>
      <c r="BG19" s="119"/>
      <c r="BH19" s="120"/>
      <c r="BI19" s="125"/>
      <c r="BJ19" s="119"/>
      <c r="BK19" s="120"/>
      <c r="BL19" s="125"/>
      <c r="BM19" s="119"/>
      <c r="BN19" s="119"/>
      <c r="BO19" s="118"/>
      <c r="BP19" s="119"/>
      <c r="BQ19" s="120"/>
      <c r="BR19" s="125"/>
      <c r="BS19" s="119"/>
      <c r="BT19" s="120"/>
      <c r="BU19" s="125"/>
      <c r="BV19" s="119"/>
      <c r="BW19" s="120"/>
      <c r="BX19" s="125"/>
      <c r="BY19" s="119"/>
      <c r="BZ19" s="120"/>
      <c r="CA19" s="125"/>
      <c r="CB19" s="119"/>
      <c r="CC19" s="119"/>
      <c r="CD19" s="118"/>
      <c r="CE19" s="119"/>
      <c r="CF19" s="120"/>
    </row>
    <row r="20" spans="1:84" ht="76.5" customHeight="1">
      <c r="A20" s="47" t="s">
        <v>10</v>
      </c>
      <c r="B20" s="47" t="s">
        <v>13</v>
      </c>
      <c r="C20" s="47" t="s">
        <v>15</v>
      </c>
      <c r="D20" s="47" t="s">
        <v>11</v>
      </c>
      <c r="E20" s="47" t="s">
        <v>12</v>
      </c>
      <c r="F20" s="47" t="s">
        <v>22</v>
      </c>
      <c r="G20" s="47" t="s">
        <v>23</v>
      </c>
      <c r="H20" s="47" t="s">
        <v>24</v>
      </c>
      <c r="I20" s="47" t="s">
        <v>26</v>
      </c>
      <c r="J20" s="47" t="s">
        <v>21</v>
      </c>
      <c r="K20" s="47" t="s">
        <v>51</v>
      </c>
      <c r="L20" s="47" t="s">
        <v>14</v>
      </c>
      <c r="M20" s="47" t="s">
        <v>21</v>
      </c>
      <c r="N20" s="47" t="s">
        <v>51</v>
      </c>
      <c r="O20" s="47" t="s">
        <v>14</v>
      </c>
      <c r="P20" s="47" t="s">
        <v>21</v>
      </c>
      <c r="Q20" s="47" t="s">
        <v>51</v>
      </c>
      <c r="R20" s="47" t="s">
        <v>14</v>
      </c>
      <c r="S20" s="47" t="s">
        <v>21</v>
      </c>
      <c r="T20" s="47" t="s">
        <v>51</v>
      </c>
      <c r="U20" s="47" t="s">
        <v>14</v>
      </c>
      <c r="V20" s="47" t="s">
        <v>21</v>
      </c>
      <c r="W20" s="47" t="s">
        <v>51</v>
      </c>
      <c r="X20" s="57" t="s">
        <v>14</v>
      </c>
      <c r="Y20" s="54" t="s">
        <v>21</v>
      </c>
      <c r="Z20" s="47" t="s">
        <v>51</v>
      </c>
      <c r="AA20" s="47" t="s">
        <v>14</v>
      </c>
      <c r="AB20" s="47" t="s">
        <v>21</v>
      </c>
      <c r="AC20" s="47" t="s">
        <v>51</v>
      </c>
      <c r="AD20" s="47" t="s">
        <v>14</v>
      </c>
      <c r="AE20" s="54" t="s">
        <v>21</v>
      </c>
      <c r="AF20" s="47" t="s">
        <v>51</v>
      </c>
      <c r="AG20" s="47" t="s">
        <v>14</v>
      </c>
      <c r="AH20" s="47" t="s">
        <v>21</v>
      </c>
      <c r="AI20" s="47" t="s">
        <v>51</v>
      </c>
      <c r="AJ20" s="57" t="s">
        <v>14</v>
      </c>
      <c r="AK20" s="47" t="s">
        <v>21</v>
      </c>
      <c r="AL20" s="47" t="s">
        <v>51</v>
      </c>
      <c r="AM20" s="47" t="s">
        <v>14</v>
      </c>
      <c r="AN20" s="47" t="s">
        <v>21</v>
      </c>
      <c r="AO20" s="47" t="s">
        <v>51</v>
      </c>
      <c r="AP20" s="47" t="s">
        <v>14</v>
      </c>
      <c r="AQ20" s="54" t="s">
        <v>21</v>
      </c>
      <c r="AR20" s="47" t="s">
        <v>51</v>
      </c>
      <c r="AS20" s="47" t="s">
        <v>14</v>
      </c>
      <c r="AT20" s="54" t="s">
        <v>21</v>
      </c>
      <c r="AU20" s="47" t="s">
        <v>51</v>
      </c>
      <c r="AV20" s="47" t="s">
        <v>14</v>
      </c>
      <c r="AW20" s="47" t="s">
        <v>21</v>
      </c>
      <c r="AX20" s="47" t="s">
        <v>51</v>
      </c>
      <c r="AY20" s="57" t="s">
        <v>14</v>
      </c>
      <c r="AZ20" s="47" t="s">
        <v>21</v>
      </c>
      <c r="BA20" s="47" t="s">
        <v>51</v>
      </c>
      <c r="BB20" s="47" t="s">
        <v>14</v>
      </c>
      <c r="BC20" s="47" t="s">
        <v>21</v>
      </c>
      <c r="BD20" s="47" t="s">
        <v>51</v>
      </c>
      <c r="BE20" s="47" t="s">
        <v>14</v>
      </c>
      <c r="BF20" s="47" t="s">
        <v>21</v>
      </c>
      <c r="BG20" s="47" t="s">
        <v>51</v>
      </c>
      <c r="BH20" s="47" t="s">
        <v>14</v>
      </c>
      <c r="BI20" s="47" t="s">
        <v>21</v>
      </c>
      <c r="BJ20" s="47" t="s">
        <v>51</v>
      </c>
      <c r="BK20" s="47" t="s">
        <v>14</v>
      </c>
      <c r="BL20" s="47" t="s">
        <v>21</v>
      </c>
      <c r="BM20" s="47" t="s">
        <v>51</v>
      </c>
      <c r="BN20" s="71" t="s">
        <v>14</v>
      </c>
      <c r="BO20" s="73" t="s">
        <v>21</v>
      </c>
      <c r="BP20" s="47" t="s">
        <v>51</v>
      </c>
      <c r="BQ20" s="47" t="s">
        <v>14</v>
      </c>
      <c r="BR20" s="47" t="s">
        <v>21</v>
      </c>
      <c r="BS20" s="47" t="s">
        <v>51</v>
      </c>
      <c r="BT20" s="47" t="s">
        <v>14</v>
      </c>
      <c r="BU20" s="47" t="s">
        <v>21</v>
      </c>
      <c r="BV20" s="47" t="s">
        <v>51</v>
      </c>
      <c r="BW20" s="47" t="s">
        <v>14</v>
      </c>
      <c r="BX20" s="47" t="s">
        <v>21</v>
      </c>
      <c r="BY20" s="47" t="s">
        <v>51</v>
      </c>
      <c r="BZ20" s="47" t="s">
        <v>14</v>
      </c>
      <c r="CA20" s="47" t="s">
        <v>21</v>
      </c>
      <c r="CB20" s="47" t="s">
        <v>51</v>
      </c>
      <c r="CC20" s="71" t="s">
        <v>14</v>
      </c>
      <c r="CD20" s="73" t="s">
        <v>21</v>
      </c>
      <c r="CE20" s="47" t="s">
        <v>51</v>
      </c>
      <c r="CF20" s="47" t="s">
        <v>14</v>
      </c>
    </row>
    <row r="21" spans="1:84" ht="15" customHeight="1">
      <c r="A21" s="28">
        <f>+D15*12</f>
        <v>72</v>
      </c>
      <c r="B21" s="28"/>
      <c r="C21" s="28"/>
      <c r="D21" s="28">
        <f>+D16</f>
        <v>300</v>
      </c>
      <c r="E21" s="28">
        <f>+D17</f>
        <v>200</v>
      </c>
      <c r="F21" s="29"/>
      <c r="G21" s="29"/>
      <c r="H21" s="29"/>
      <c r="I21" s="29"/>
      <c r="J21" s="29"/>
      <c r="K21" s="29"/>
      <c r="L21" s="29"/>
      <c r="M21" s="29"/>
      <c r="N21" s="29"/>
      <c r="O21" s="29"/>
      <c r="P21" s="29"/>
      <c r="Q21" s="29"/>
      <c r="R21" s="29"/>
      <c r="S21" s="29"/>
      <c r="T21" s="29"/>
      <c r="U21" s="29"/>
      <c r="V21" s="29"/>
      <c r="W21" s="29"/>
      <c r="X21" s="58"/>
      <c r="Y21" s="55"/>
      <c r="Z21" s="29"/>
      <c r="AA21" s="29"/>
      <c r="AB21" s="29"/>
      <c r="AC21" s="29"/>
      <c r="AD21" s="29"/>
      <c r="AE21" s="55"/>
      <c r="AF21" s="29"/>
      <c r="AG21" s="29"/>
      <c r="AH21" s="29"/>
      <c r="AI21" s="29"/>
      <c r="AJ21" s="58"/>
      <c r="AK21" s="29"/>
      <c r="AL21" s="29"/>
      <c r="AM21" s="29"/>
      <c r="AN21" s="29"/>
      <c r="AO21" s="29"/>
      <c r="AP21" s="29"/>
      <c r="AQ21" s="55"/>
      <c r="AR21" s="29"/>
      <c r="AS21" s="29"/>
      <c r="AT21" s="55"/>
      <c r="AU21" s="29"/>
      <c r="AV21" s="29"/>
      <c r="AW21" s="29"/>
      <c r="AX21" s="29"/>
      <c r="AY21" s="58"/>
      <c r="AZ21" s="29"/>
      <c r="BA21" s="29"/>
      <c r="BB21" s="29"/>
      <c r="BC21" s="29"/>
      <c r="BD21" s="29"/>
      <c r="BE21" s="29"/>
      <c r="BF21" s="29"/>
      <c r="BG21" s="29"/>
      <c r="BH21" s="29"/>
      <c r="BI21" s="29"/>
      <c r="BJ21" s="29"/>
      <c r="BK21" s="29"/>
      <c r="BL21" s="29"/>
      <c r="BM21" s="29"/>
      <c r="BN21" s="32"/>
      <c r="BO21" s="74"/>
      <c r="BP21" s="29"/>
      <c r="BQ21" s="29"/>
      <c r="BR21" s="29"/>
      <c r="BS21" s="29"/>
      <c r="BT21" s="29"/>
      <c r="BU21" s="29"/>
      <c r="BV21" s="29"/>
      <c r="BW21" s="29"/>
      <c r="BX21" s="29"/>
      <c r="BY21" s="29"/>
      <c r="BZ21" s="29"/>
      <c r="CA21" s="29"/>
      <c r="CB21" s="29"/>
      <c r="CC21" s="32"/>
      <c r="CD21" s="74"/>
      <c r="CE21" s="29"/>
      <c r="CF21" s="29"/>
    </row>
    <row r="22" spans="1:84" ht="15" customHeight="1">
      <c r="A22" s="28">
        <f t="shared" ref="A22:A33" si="0">+IF(A21-C22&gt;0,A21-C22,0)</f>
        <v>68.400000000000006</v>
      </c>
      <c r="B22" s="28">
        <f t="shared" ref="B22:B41" si="1">+(A21+A22)/2</f>
        <v>70.2</v>
      </c>
      <c r="C22" s="28">
        <f t="shared" ref="C22:C41" si="2">+IF(A21&gt;0,$I$17,0)</f>
        <v>3.6</v>
      </c>
      <c r="D22" s="29">
        <f>+D21-(2*(($D$16-$D$18)/(2*$D$15))*(C22/12))</f>
        <v>295</v>
      </c>
      <c r="E22" s="29">
        <f>+E21-(2*(($D$17-$D$19)/(2*$D$15))*(C22/12))</f>
        <v>195</v>
      </c>
      <c r="F22" s="29">
        <f>+IF(B22&gt;0,+(((D21*E21)+4*(((D21+D22)/2)*((E21+E22)/2))+(D22*E22))/6)*(C22/12),0)</f>
        <v>17627.5</v>
      </c>
      <c r="G22" s="29">
        <f>+G21+F22</f>
        <v>17627.5</v>
      </c>
      <c r="H22" s="29">
        <f>+G22*7.48</f>
        <v>131853.70000000001</v>
      </c>
      <c r="I22" s="30">
        <f>+($I$15-($I$15-H22))/$I$15</f>
        <v>7.6641304347826053E-2</v>
      </c>
      <c r="J22" s="29">
        <f>+(1.6425*POWER(B22/12,0.0636))</f>
        <v>1.8377925696923725</v>
      </c>
      <c r="K22" s="77">
        <f>+J22*0.1337/60</f>
        <v>4.0952144427978373E-3</v>
      </c>
      <c r="L22" s="29">
        <f>+H22/(1.6425*POWER(B22/12,0.0636))/60</f>
        <v>1195.7615363710584</v>
      </c>
      <c r="M22" s="29">
        <f>+(6.4078*POWER(B22/12,0.0312))</f>
        <v>6.7708658787874887</v>
      </c>
      <c r="N22" s="77">
        <f t="shared" ref="N22:N41" si="3">+M22*0.1337/60</f>
        <v>1.5087746133231456E-2</v>
      </c>
      <c r="O22" s="29">
        <f>+H22/(6.4078*POWER(B22/12,0.0312))/60</f>
        <v>324.56139377260877</v>
      </c>
      <c r="P22" s="29">
        <f>+(7.5459*POWER(B22/12,0.0748))</f>
        <v>8.6118073186381885</v>
      </c>
      <c r="Q22" s="77">
        <f>+P22*0.1337/60</f>
        <v>1.9189977308365431E-2</v>
      </c>
      <c r="R22" s="29">
        <f>+H22/(7.5459*POWER(B22/12,0.0748))/60</f>
        <v>255.18007839197384</v>
      </c>
      <c r="S22" s="29">
        <f>+(14.221*POWER(B22/12,0.0401))</f>
        <v>15.264869176756678</v>
      </c>
      <c r="T22" s="77">
        <f>+S22*0.1337/60</f>
        <v>3.4015216815539463E-2</v>
      </c>
      <c r="U22" s="29">
        <f>+H22/(14.221*POWER(B22/12,0.0401))/60</f>
        <v>143.96203735652205</v>
      </c>
      <c r="V22" s="29">
        <f>+(22.133*POWER(B22/12,0.1378))</f>
        <v>28.23282670170639</v>
      </c>
      <c r="W22" s="77">
        <f>+V22*0.1337/60</f>
        <v>6.2912148833635745E-2</v>
      </c>
      <c r="X22" s="58">
        <f>+H22/(22.133*POWER(B22/12,0.1378))/60</f>
        <v>77.837111029829913</v>
      </c>
      <c r="Y22" s="55">
        <f>+(16.127*POWER(B22/12,0.0897))</f>
        <v>18.895895005743597</v>
      </c>
      <c r="Z22" s="77">
        <f>+Y22*0.1337/60</f>
        <v>4.2106352704465319E-2</v>
      </c>
      <c r="AA22" s="29">
        <f>+H22/(16.127*POWER(B22/12,0.0897))/60</f>
        <v>116.29836353338627</v>
      </c>
      <c r="AB22" s="29">
        <f>+(29.588*POWER(B22/12,0.0625))</f>
        <v>33.041735600459333</v>
      </c>
      <c r="AC22" s="77">
        <f>+AB22*0.1337/60</f>
        <v>7.3628000829690218E-2</v>
      </c>
      <c r="AD22" s="29">
        <f>+H22/(29.588*POWER(B22/12,0.0625))/60</f>
        <v>66.508663262716667</v>
      </c>
      <c r="AE22" s="55">
        <f>+(44.782*POWER(B22/12,0.1537))</f>
        <v>58.751010701278808</v>
      </c>
      <c r="AF22" s="77">
        <f>+AE22*0.1337/60</f>
        <v>0.13091683551268296</v>
      </c>
      <c r="AG22" s="29">
        <f>+H22/(44.782*POWER(B22/12,0.1537))/60</f>
        <v>37.404661476212411</v>
      </c>
      <c r="AH22" s="29">
        <f>+(60.386*POWER(B22/12,0.12))</f>
        <v>74.644010724277209</v>
      </c>
      <c r="AI22" s="77">
        <f>+AH22*0.1337/60</f>
        <v>0.16633173723059774</v>
      </c>
      <c r="AJ22" s="58">
        <f>+H22/(60.386*POWER(B22/12,0.12))/60</f>
        <v>29.440562549406689</v>
      </c>
      <c r="AK22" s="29">
        <f>+(32.786*POWER(B22/12,0.0463))</f>
        <v>35.580148072959439</v>
      </c>
      <c r="AL22" s="77">
        <f t="shared" ref="AL22" si="4">+AK22*0.1337/60</f>
        <v>7.9284429955911284E-2</v>
      </c>
      <c r="AM22" s="29">
        <f>+H22/(32.786*POWER(B22/12,0.0463))/60</f>
        <v>61.763702111650069</v>
      </c>
      <c r="AN22" s="29">
        <f>+(48.885*POWER(B22/12,0.0519))</f>
        <v>53.578556523864357</v>
      </c>
      <c r="AO22" s="77">
        <f t="shared" ref="AO22" si="5">+AN22*0.1337/60</f>
        <v>0.1193908834540111</v>
      </c>
      <c r="AP22" s="29">
        <f>+H22/(48.885*POWER(B22/12,0.0519))/60</f>
        <v>41.015693763378152</v>
      </c>
      <c r="AQ22" s="29">
        <f>+(72.011*POWER($B22/12,0.0744))</f>
        <v>82.124972727627252</v>
      </c>
      <c r="AR22" s="77">
        <f t="shared" ref="AR22:AR41" si="6">+AQ22*0.1337/60</f>
        <v>0.18300181422806275</v>
      </c>
      <c r="AS22" s="29">
        <f>+H22/(99.028*POWER($B22/12,0.0744))/60</f>
        <v>19.458379372017607</v>
      </c>
      <c r="AT22" s="55">
        <f>+(99.028*POWER($B22/12,0.0712))</f>
        <v>112.29993519901041</v>
      </c>
      <c r="AU22" s="77">
        <f t="shared" ref="AU22" si="7">+AT22*0.1337/60</f>
        <v>0.25024168893512821</v>
      </c>
      <c r="AV22" s="29">
        <f>+$H22/(99.028*POWER($B22/12,0.0712))/60</f>
        <v>19.568681520361483</v>
      </c>
      <c r="AW22" s="29">
        <f>+(141.13*POWER(B22/12,0.1432))</f>
        <v>181.7506871803092</v>
      </c>
      <c r="AX22" s="77">
        <f t="shared" ref="AX22" si="8">+AW22*0.1337/60</f>
        <v>0.40500111460012239</v>
      </c>
      <c r="AY22" s="58">
        <f>+$H22/(141.13*POWER($B22/12,0.1432))/60</f>
        <v>12.091077622647635</v>
      </c>
      <c r="AZ22" s="29">
        <f>+(89.451*POWER(B22/12,0.1513))</f>
        <v>116.85730939281062</v>
      </c>
      <c r="BA22" s="77">
        <f t="shared" ref="BA22:BA41" si="9">+AZ22*0.1337/60</f>
        <v>0.26039703776364637</v>
      </c>
      <c r="BB22" s="29">
        <f>+H22/(89.451*POWER(B22/12,0.1513))/60</f>
        <v>18.805513134652635</v>
      </c>
      <c r="BC22" s="29">
        <f>+(118.43*POWER(B22/12,0.1505))</f>
        <v>154.49651489208406</v>
      </c>
      <c r="BD22" s="77">
        <f t="shared" ref="BD22:BD41" si="10">+BC22*0.1337/60</f>
        <v>0.34426973401786065</v>
      </c>
      <c r="BE22" s="29">
        <f>+H22/(118.43*POWER(B22/12,0.1505))/60</f>
        <v>14.224020963849348</v>
      </c>
      <c r="BF22" s="29">
        <f>+(153.15*POWER(B22/12,0.1974))</f>
        <v>217.04689088144764</v>
      </c>
      <c r="BG22" s="77">
        <f t="shared" ref="BG22:BG41" si="11">+BF22*0.1337/60</f>
        <v>0.48365282184749253</v>
      </c>
      <c r="BH22" s="29">
        <f>+H22/(153.15*POWER(B22/12,0.1974))/60</f>
        <v>10.124824445732276</v>
      </c>
      <c r="BI22" s="29">
        <f>+(203.74*POWER($B22/12,0.1016))</f>
        <v>243.79193691085325</v>
      </c>
      <c r="BJ22" s="77">
        <f t="shared" ref="BJ22:BJ41" si="12">+BI22*0.1337/60</f>
        <v>0.54324969941635137</v>
      </c>
      <c r="BK22" s="29">
        <f>+$H22/(203.74*POWER($B22/12,0.1016))/60</f>
        <v>9.0140867434440359</v>
      </c>
      <c r="BL22" s="29">
        <f>+(283.77*POWER($B22/12,0.1496))</f>
        <v>369.60088099724987</v>
      </c>
      <c r="BM22" s="77">
        <f t="shared" ref="BM22:BM41" si="13">+BL22*0.1337/60</f>
        <v>0.82359396315553857</v>
      </c>
      <c r="BN22" s="32">
        <f>+$H22/(283.77*POWER($B22/12,0.1496))/60</f>
        <v>5.9457695575217482</v>
      </c>
      <c r="BO22" s="74">
        <f>+(221.56*POWER($B22/12,0.0978))</f>
        <v>263.34143644628676</v>
      </c>
      <c r="BP22" s="77">
        <f t="shared" ref="BP22:BP41" si="14">+BO22*0.1337/60</f>
        <v>0.58681250088114245</v>
      </c>
      <c r="BQ22" s="29">
        <f>+$H22/(221.56*POWER($B22/12,0.0978))/60</f>
        <v>8.3449141020953572</v>
      </c>
      <c r="BR22" s="29">
        <f>+(285.69*POWER($B22/12,0.1727))</f>
        <v>387.59918672080101</v>
      </c>
      <c r="BS22" s="77">
        <f t="shared" ref="BS22:BS41" si="15">+BR22*0.1337/60</f>
        <v>0.86370018774285173</v>
      </c>
      <c r="BT22" s="29">
        <f>+$H22/(285.69*POWER($B22/12,0.1727))/60</f>
        <v>5.6696756390503849</v>
      </c>
      <c r="BU22" s="29">
        <f>+(325.99*POWER($B22/12,0.1813))</f>
        <v>449.04476371063038</v>
      </c>
      <c r="BV22" s="77">
        <f t="shared" ref="BV22:BV41" si="16">+BU22*0.1337/60</f>
        <v>1.0006214151351882</v>
      </c>
      <c r="BW22" s="29">
        <f>+$H22/(325.99*POWER($B22/12,0.1813))/60</f>
        <v>4.8938587959636051</v>
      </c>
      <c r="BX22" s="29">
        <f>+(411.28*POWER($B22/12,0.2837))</f>
        <v>678.85920322899301</v>
      </c>
      <c r="BY22" s="77">
        <f t="shared" ref="BY22:BY41" si="17">+BX22*0.1337/60</f>
        <v>1.5127245911952729</v>
      </c>
      <c r="BZ22" s="29">
        <f>+$H22/(411.28*POWER($B22/12,0.2837))/60</f>
        <v>3.2371390948431826</v>
      </c>
      <c r="CA22" s="29">
        <f>+(496.27*POWER($B22/12,0.2375))</f>
        <v>754.94887218949555</v>
      </c>
      <c r="CB22" s="77">
        <f t="shared" ref="CB22:CB41" si="18">+CA22*0.1337/60</f>
        <v>1.6822777368622595</v>
      </c>
      <c r="CC22" s="32">
        <f>+$H22/(496.27*POWER($B22/12,0.2375))/60</f>
        <v>2.910874825593579</v>
      </c>
      <c r="CD22" s="74">
        <f>+(657.43*POWER($B22/12,0.1617))</f>
        <v>874.77954945019258</v>
      </c>
      <c r="CE22" s="77">
        <f t="shared" ref="CE22:CE41" si="19">+CD22*0.1337/60</f>
        <v>1.9493004293581793</v>
      </c>
      <c r="CF22" s="29">
        <f>+$H22/(657.43*POWER($B22/12,0.1617))/60</f>
        <v>2.5121319629018029</v>
      </c>
    </row>
    <row r="23" spans="1:84" ht="15" customHeight="1">
      <c r="A23" s="28">
        <f t="shared" si="0"/>
        <v>64.800000000000011</v>
      </c>
      <c r="B23" s="28">
        <f t="shared" si="1"/>
        <v>66.600000000000009</v>
      </c>
      <c r="C23" s="28">
        <f t="shared" si="2"/>
        <v>3.6</v>
      </c>
      <c r="D23" s="29">
        <f t="shared" ref="D23:D41" si="20">+D22-(2*(($D$16-$D$18)/(2*$D$15))*(C23/12))</f>
        <v>290</v>
      </c>
      <c r="E23" s="29">
        <f t="shared" ref="E23:E41" si="21">+E22-(2*(($D$17-$D$19)/(2*$D$15))*(C23/12))</f>
        <v>190</v>
      </c>
      <c r="F23" s="29">
        <f t="shared" ref="F23:F41" si="22">+IF(B23&gt;0,+(((D22*E22)+4*(((D22+D23)/2)*((E22+E23)/2))+(D23*E23))/6)*(C23/12),0)</f>
        <v>16892.5</v>
      </c>
      <c r="G23" s="29">
        <f t="shared" ref="G23:G41" si="23">+G22+F23</f>
        <v>34520</v>
      </c>
      <c r="H23" s="29">
        <f t="shared" ref="H23:H41" si="24">+G23*7.48</f>
        <v>258209.6</v>
      </c>
      <c r="I23" s="30">
        <f t="shared" ref="I23:I41" si="25">+($I$15-($I$15-H23))/$I$15</f>
        <v>0.15008695652173917</v>
      </c>
      <c r="J23" s="29">
        <f t="shared" ref="J23:J41" si="26">+(1.6425*POWER(B23/12,0.0636))</f>
        <v>1.8316496696016098</v>
      </c>
      <c r="K23" s="77">
        <f t="shared" ref="K23:K41" si="27">+J23*0.1337/60</f>
        <v>4.0815260137622546E-3</v>
      </c>
      <c r="L23" s="29">
        <f>+(H23-H22)/(1.6425*POWER(B23/12,0.0636))/60+L22</f>
        <v>2345.5074193404334</v>
      </c>
      <c r="M23" s="29">
        <f t="shared" ref="M23:M41" si="28">+(6.4078*POWER(B23/12,0.0312))</f>
        <v>6.7597539647046299</v>
      </c>
      <c r="N23" s="77">
        <f t="shared" si="3"/>
        <v>1.5062985084683485E-2</v>
      </c>
      <c r="O23" s="29">
        <f>+(H23-H22)/(6.4078*POWER(B23/12,0.0312))/60+O22</f>
        <v>636.10108555171428</v>
      </c>
      <c r="P23" s="29">
        <f t="shared" ref="P23:P41" si="29">+(7.5459*POWER(B23/12,0.0748))</f>
        <v>8.5779628427739727</v>
      </c>
      <c r="Q23" s="77">
        <f t="shared" ref="Q23:Q41" si="30">+P23*0.1337/60</f>
        <v>1.9114560534648002E-2</v>
      </c>
      <c r="R23" s="29">
        <f>+(H23-H22)/(7.5459*POWER(B23/12,0.0748))/60+R22</f>
        <v>500.68495003416001</v>
      </c>
      <c r="S23" s="29">
        <f t="shared" ref="S23:S41" si="31">+(14.221*POWER(B23/12,0.0401))</f>
        <v>15.232678817700037</v>
      </c>
      <c r="T23" s="77">
        <f t="shared" ref="T23:T41" si="32">+S23*0.1337/60</f>
        <v>3.394348596544159E-2</v>
      </c>
      <c r="U23" s="29">
        <f>+(H23-H22)/(14.221*POWER(B23/12,0.0401))/60+U22</f>
        <v>282.2129446243639</v>
      </c>
      <c r="V23" s="29">
        <f t="shared" ref="V23:V41" si="33">+(22.133*POWER(B23/12,0.1378))</f>
        <v>28.028758206802507</v>
      </c>
      <c r="W23" s="77">
        <f t="shared" ref="W23:W41" si="34">+V23*0.1337/60</f>
        <v>6.2457416204158261E-2</v>
      </c>
      <c r="X23" s="58">
        <f>+(H23-H22)/(22.133*POWER(B23/12,0.1378))/60+X22</f>
        <v>152.97178703397634</v>
      </c>
      <c r="Y23" s="55">
        <f t="shared" ref="Y23:Y41" si="35">+(16.127*POWER(B23/12,0.0897))</f>
        <v>18.806876234518533</v>
      </c>
      <c r="Z23" s="77">
        <f t="shared" ref="Z23:Z41" si="36">+Y23*0.1337/60</f>
        <v>4.1907989209252136E-2</v>
      </c>
      <c r="AA23" s="29">
        <f>+(H23-H22)/(16.127*POWER(B23/12,0.0897))/60+AA22</f>
        <v>228.27504910339047</v>
      </c>
      <c r="AB23" s="29">
        <f t="shared" ref="AB23:AB41" si="37">+(29.588*POWER(B23/12,0.0625))</f>
        <v>32.933199233183274</v>
      </c>
      <c r="AC23" s="77">
        <f t="shared" ref="AC23:AC41" si="38">+AB23*0.1337/60</f>
        <v>7.3386145624610072E-2</v>
      </c>
      <c r="AD23" s="29">
        <f>+(H23-H22)/(29.588*POWER(B23/12,0.0625))/60+AD22</f>
        <v>130.45421716276849</v>
      </c>
      <c r="AE23" s="55">
        <f t="shared" ref="AE23:AE41" si="39">+(44.782*POWER(B23/12,0.1537))</f>
        <v>58.27755422263877</v>
      </c>
      <c r="AF23" s="77">
        <f t="shared" ref="AF23:AF41" si="40">+AE23*0.1337/60</f>
        <v>0.12986181665944674</v>
      </c>
      <c r="AG23" s="29">
        <f>+(H23-H22)/(44.782*POWER(B23/12,0.1537))/60+AG22</f>
        <v>73.540901144427352</v>
      </c>
      <c r="AH23" s="29">
        <f t="shared" ref="AH23:AH41" si="41">+(60.386*POWER(B23/12,0.12))</f>
        <v>74.173952296532377</v>
      </c>
      <c r="AI23" s="77">
        <f t="shared" ref="AI23:AI41" si="42">+AH23*0.1337/60</f>
        <v>0.16528429036743966</v>
      </c>
      <c r="AJ23" s="58">
        <f>+(H23-H22)/(60.386*POWER(B23/12,0.12))/60+AJ22</f>
        <v>57.832357801836821</v>
      </c>
      <c r="AK23" s="29">
        <f t="shared" ref="AK23:AK41" si="43">+(32.786*POWER(B23/12,0.0463))</f>
        <v>35.493530451102316</v>
      </c>
      <c r="AL23" s="77">
        <f t="shared" ref="AL23:AL41" si="44">+AK23*0.1337/60</f>
        <v>7.9091417021873001E-2</v>
      </c>
      <c r="AM23" s="29">
        <f>+(H23-H22)/(32.786*POWER(B23/12,0.0463))/60+AM22</f>
        <v>121.09653375452945</v>
      </c>
      <c r="AN23" s="29">
        <f t="shared" ref="AN23:AN41" si="45">+(48.885*POWER(B23/12,0.0519))</f>
        <v>53.43236846753873</v>
      </c>
      <c r="AO23" s="77">
        <f t="shared" ref="AO23:AO41" si="46">+AN23*0.1337/60</f>
        <v>0.11906512773516549</v>
      </c>
      <c r="AP23" s="29">
        <f>+(H23-H22)/(48.885*POWER(B23/12,0.0519))/60+AP22</f>
        <v>80.428726108108748</v>
      </c>
      <c r="AQ23" s="29">
        <f>+(72.011*POWER($B23/12,0.0744))</f>
        <v>81.803943455546118</v>
      </c>
      <c r="AR23" s="77">
        <f t="shared" si="6"/>
        <v>0.18228645400010862</v>
      </c>
      <c r="AS23" s="29">
        <f>+($H23-$H22)/(72.011*POWER($B23/12,0.0744))/60+AS22</f>
        <v>45.202024210008474</v>
      </c>
      <c r="AT23" s="55">
        <f>+(99.028*POWER($B23/12,0.0712))</f>
        <v>111.87979666406608</v>
      </c>
      <c r="AU23" s="77">
        <f t="shared" ref="AU23:AU41" si="47">+AT23*0.1337/60</f>
        <v>0.24930548023309393</v>
      </c>
      <c r="AV23" s="29">
        <f>+($H23-$H22)/(99.028*POWER($B23/12,0.0712))/60+AV22</f>
        <v>38.39184467813881</v>
      </c>
      <c r="AW23" s="29">
        <f t="shared" ref="AW23:AW41" si="48">+(141.13*POWER(B23/12,0.1432))</f>
        <v>180.38569611935654</v>
      </c>
      <c r="AX23" s="77">
        <f t="shared" ref="AX23:AX41" si="49">+AW23*0.1337/60</f>
        <v>0.40195945951929951</v>
      </c>
      <c r="AY23" s="58">
        <f>+($H23-$H22)/(141.13*POWER($B23/12,0.1432))/60+AY22</f>
        <v>23.765682161542038</v>
      </c>
      <c r="AZ23" s="29">
        <f t="shared" ref="AZ23:AZ41" si="50">+(89.451*POWER(B23/12,0.1513))</f>
        <v>115.93023824910249</v>
      </c>
      <c r="BA23" s="77">
        <f t="shared" si="9"/>
        <v>0.25833121423175004</v>
      </c>
      <c r="BB23" s="29">
        <f>+(H23-H22)/(89.451*POWER(B23/12,0.1513))/60+BB22</f>
        <v>36.971021102829098</v>
      </c>
      <c r="BC23" s="29">
        <f t="shared" ref="BC23:BC41" si="51">+(118.43*POWER(B23/12,0.1505))</f>
        <v>153.27729350352169</v>
      </c>
      <c r="BD23" s="77">
        <f t="shared" si="10"/>
        <v>0.34155290235701419</v>
      </c>
      <c r="BE23" s="29">
        <f>+(H23-H22)/(118.43*POWER(B23/12,0.1505))/60+BE22</f>
        <v>27.963379341926924</v>
      </c>
      <c r="BF23" s="29">
        <f t="shared" ref="BF23:BF41" si="52">+(153.15*POWER(B23/12,0.1974))</f>
        <v>214.80304622575127</v>
      </c>
      <c r="BG23" s="77">
        <f t="shared" si="11"/>
        <v>0.47865278800638245</v>
      </c>
      <c r="BH23" s="29">
        <f>+(H23-H22)/(153.15*POWER(B23/12,0.1974))/60+BH22</f>
        <v>19.928836556684367</v>
      </c>
      <c r="BI23" s="29">
        <f t="shared" ref="BI23:BI41" si="53">+(203.74*POWER(B23/12,0.1016))</f>
        <v>242.4914714842966</v>
      </c>
      <c r="BJ23" s="77">
        <f t="shared" si="12"/>
        <v>0.54035182895750766</v>
      </c>
      <c r="BK23" s="29">
        <f>+($H23-$H22)/(203.74*POWER($B23/12,0.1016))/60+BK22</f>
        <v>17.698646467446714</v>
      </c>
      <c r="BL23" s="29">
        <f t="shared" ref="BL23:BL41" si="54">+(283.77*POWER($B23/12,0.1496))</f>
        <v>366.70152027114909</v>
      </c>
      <c r="BM23" s="77">
        <f t="shared" si="13"/>
        <v>0.8171332210042106</v>
      </c>
      <c r="BN23" s="32">
        <f>+($H23-$H22)/(283.77*POWER($B23/12,0.1496))/60+BN22</f>
        <v>11.688673664135441</v>
      </c>
      <c r="BO23" s="74">
        <f t="shared" ref="BO23:BO41" si="55">+(221.56*POWER($B23/12,0.0978))</f>
        <v>261.9890923125688</v>
      </c>
      <c r="BP23" s="77">
        <f t="shared" si="14"/>
        <v>0.5837990273698408</v>
      </c>
      <c r="BQ23" s="29">
        <f>+($H23-$H22)/(221.56*POWER($B23/12,0.0978))/60+BQ22</f>
        <v>16.383155878032206</v>
      </c>
      <c r="BR23" s="29">
        <f t="shared" ref="BR23:BR41" si="56">+(285.69*POWER($B23/12,0.1727))</f>
        <v>384.09127090664651</v>
      </c>
      <c r="BS23" s="77">
        <f t="shared" si="15"/>
        <v>0.855883382003644</v>
      </c>
      <c r="BT23" s="29">
        <f>+($H23-$H22)/(285.69*POWER($B23/12,0.1727))/60+BT22</f>
        <v>11.152569487941093</v>
      </c>
      <c r="BU23" s="29">
        <f t="shared" ref="BU23:BU41" si="57">+(325.99*POWER($B23/12,0.1813))</f>
        <v>444.7793294748642</v>
      </c>
      <c r="BV23" s="77">
        <f t="shared" si="16"/>
        <v>0.9911166058464892</v>
      </c>
      <c r="BW23" s="29">
        <f>+($H23-$H22)/(325.99*POWER($B23/12,0.1813))/60+BW22</f>
        <v>9.6286374313670713</v>
      </c>
      <c r="BX23" s="29">
        <f t="shared" ref="BX23:BX41" si="58">+(411.28*POWER($B23/12,0.2837))</f>
        <v>668.79575853855681</v>
      </c>
      <c r="BY23" s="77">
        <f t="shared" si="17"/>
        <v>1.4902998819434177</v>
      </c>
      <c r="BZ23" s="29">
        <f>+($H23-$H22)/(411.28*POWER($B23/12,0.2837))/60+BZ22</f>
        <v>6.3859803364032661</v>
      </c>
      <c r="CA23" s="29">
        <f t="shared" ref="CA23:CA41" si="59">+(496.27*POWER($B23/12,0.2375))</f>
        <v>745.56859444419206</v>
      </c>
      <c r="CB23" s="77">
        <f t="shared" si="18"/>
        <v>1.6613753512864746</v>
      </c>
      <c r="CC23" s="32">
        <f>+($H23-$H22)/(496.27*POWER($B23/12,0.2375))/60+CC22</f>
        <v>5.7354729676821687</v>
      </c>
      <c r="CD23" s="74">
        <f t="shared" ref="CD23:CD41" si="60">+(657.43*POWER($B23/12,0.1617))</f>
        <v>867.36460041366593</v>
      </c>
      <c r="CE23" s="77">
        <f t="shared" si="19"/>
        <v>1.9327774512551192</v>
      </c>
      <c r="CF23" s="29">
        <f>+($H23-$H22)/(657.43*POWER($B23/12,0.1617))/60+CF22</f>
        <v>4.940097855978717</v>
      </c>
    </row>
    <row r="24" spans="1:84" ht="15" customHeight="1">
      <c r="A24" s="28">
        <f t="shared" si="0"/>
        <v>61.20000000000001</v>
      </c>
      <c r="B24" s="28">
        <f t="shared" si="1"/>
        <v>63.000000000000014</v>
      </c>
      <c r="C24" s="28">
        <f t="shared" si="2"/>
        <v>3.6</v>
      </c>
      <c r="D24" s="29">
        <f t="shared" si="20"/>
        <v>285</v>
      </c>
      <c r="E24" s="29">
        <f t="shared" si="21"/>
        <v>185</v>
      </c>
      <c r="F24" s="29">
        <f t="shared" si="22"/>
        <v>16172.5</v>
      </c>
      <c r="G24" s="29">
        <f t="shared" si="23"/>
        <v>50692.5</v>
      </c>
      <c r="H24" s="29">
        <f t="shared" si="24"/>
        <v>379179.9</v>
      </c>
      <c r="I24" s="30">
        <f t="shared" si="25"/>
        <v>0.22040217391304343</v>
      </c>
      <c r="J24" s="29">
        <f t="shared" si="26"/>
        <v>1.8251876014174502</v>
      </c>
      <c r="K24" s="77">
        <f t="shared" si="27"/>
        <v>4.0671263718252181E-3</v>
      </c>
      <c r="L24" s="29">
        <f t="shared" ref="L24:L41" si="61">+(H24-H23)/(1.6425*POWER(B24/12,0.0636))/60+L23</f>
        <v>3450.145465917617</v>
      </c>
      <c r="M24" s="29">
        <f t="shared" si="28"/>
        <v>6.7480441968389648</v>
      </c>
      <c r="N24" s="77">
        <f t="shared" si="3"/>
        <v>1.5036891818622828E-2</v>
      </c>
      <c r="O24" s="29">
        <f t="shared" ref="O24:O41" si="62">+(H24-H23)/(6.4078*POWER(B24/12,0.0312))/60+O23</f>
        <v>934.87975502325048</v>
      </c>
      <c r="P24" s="29">
        <f t="shared" si="29"/>
        <v>8.5423814695589986</v>
      </c>
      <c r="Q24" s="77">
        <f t="shared" si="30"/>
        <v>1.9035273374667306E-2</v>
      </c>
      <c r="R24" s="29">
        <f t="shared" ref="R24:R41" si="63">+(H24-H23)/(7.5459*POWER(B24/12,0.0748))/60+R23</f>
        <v>736.70480864751596</v>
      </c>
      <c r="S24" s="29">
        <f t="shared" si="31"/>
        <v>15.198772853372464</v>
      </c>
      <c r="T24" s="77">
        <f t="shared" si="32"/>
        <v>3.3867932174931649E-2</v>
      </c>
      <c r="U24" s="29">
        <f t="shared" ref="U24:U41" si="64">+(H24-H23)/(14.221*POWER(B24/12,0.0401))/60+U23</f>
        <v>414.86652699692354</v>
      </c>
      <c r="V24" s="29">
        <f t="shared" si="33"/>
        <v>27.814946953747501</v>
      </c>
      <c r="W24" s="77">
        <f t="shared" si="34"/>
        <v>6.1980973461934021E-2</v>
      </c>
      <c r="X24" s="58">
        <f t="shared" ref="X24:X41" si="65">+(H24-H23)/(22.133*POWER(B24/12,0.1378))/60+X23</f>
        <v>225.45697530412792</v>
      </c>
      <c r="Y24" s="55">
        <f t="shared" si="35"/>
        <v>18.713364438738367</v>
      </c>
      <c r="Z24" s="77">
        <f t="shared" si="36"/>
        <v>4.1699613757655331E-2</v>
      </c>
      <c r="AA24" s="29">
        <f t="shared" ref="AA24:AA41" si="66">+(H24-H23)/(16.127*POWER(B24/12,0.0897))/60+AA23</f>
        <v>336.014716829468</v>
      </c>
      <c r="AB24" s="29">
        <f t="shared" si="37"/>
        <v>32.81901682110955</v>
      </c>
      <c r="AC24" s="77">
        <f t="shared" si="38"/>
        <v>7.3131709149705779E-2</v>
      </c>
      <c r="AD24" s="29">
        <f t="shared" ref="AD24:AD41" si="67">+(H24-H23)/(29.588*POWER(B24/12,0.0625))/60+AD23</f>
        <v>191.88724782473039</v>
      </c>
      <c r="AE24" s="55">
        <f t="shared" si="39"/>
        <v>57.781920252272073</v>
      </c>
      <c r="AF24" s="77">
        <f t="shared" si="40"/>
        <v>0.12875737896214628</v>
      </c>
      <c r="AG24" s="29">
        <f t="shared" ref="AG24:AG41" si="68">+(H24-H23)/(44.782*POWER(B24/12,0.1537))/60+AG23</f>
        <v>108.43367829451502</v>
      </c>
      <c r="AH24" s="29">
        <f t="shared" si="41"/>
        <v>73.680977536702969</v>
      </c>
      <c r="AI24" s="77">
        <f t="shared" si="42"/>
        <v>0.16418577827761979</v>
      </c>
      <c r="AJ24" s="58">
        <f t="shared" ref="AJ24:AJ41" si="69">+(H24-H23)/(60.386*POWER(B24/12,0.12))/60+AJ23</f>
        <v>85.195888173870017</v>
      </c>
      <c r="AK24" s="29">
        <f t="shared" si="43"/>
        <v>35.402327088803823</v>
      </c>
      <c r="AL24" s="77">
        <f t="shared" si="44"/>
        <v>7.8888185529551194E-2</v>
      </c>
      <c r="AM24" s="29">
        <f t="shared" ref="AM24:AM41" si="70">+(H24-H23)/(32.786*POWER(B24/12,0.0463))/60+AM23</f>
        <v>178.04679190025152</v>
      </c>
      <c r="AN24" s="29">
        <f t="shared" si="45"/>
        <v>53.278487503565778</v>
      </c>
      <c r="AO24" s="77">
        <f t="shared" si="46"/>
        <v>0.11872222965377908</v>
      </c>
      <c r="AP24" s="29">
        <f t="shared" ref="AP24:AP41" si="71">+(H24-H23)/(48.885*POWER(B24/12,0.0519))/60+AP23</f>
        <v>118.27086016891013</v>
      </c>
      <c r="AQ24" s="29">
        <f t="shared" ref="AQ24:AQ41" si="72">+(72.011*POWER(B24/12,0.0744))</f>
        <v>81.466431667808351</v>
      </c>
      <c r="AR24" s="77">
        <f t="shared" si="6"/>
        <v>0.18153436523309965</v>
      </c>
      <c r="AS24" s="29">
        <f t="shared" ref="AS24:AS41" si="73">+(H24-H23)/(72.011*POWER(B24/12,0.0744))/60+AS23</f>
        <v>69.95052031313854</v>
      </c>
      <c r="AT24" s="55">
        <f t="shared" ref="AT24:AT41" si="74">+(99.028*POWER(B24/12,0.0712))</f>
        <v>111.43801059217694</v>
      </c>
      <c r="AU24" s="77">
        <f t="shared" si="47"/>
        <v>0.24832103360290098</v>
      </c>
      <c r="AV24" s="29">
        <f t="shared" ref="AV24:AV41" si="75">+(H24-H23)/(99.028*POWER(B24/12,0.0712))/60+AV23</f>
        <v>56.48416036066773</v>
      </c>
      <c r="AW24" s="29">
        <f t="shared" si="48"/>
        <v>178.95595462157732</v>
      </c>
      <c r="AX24" s="77">
        <f t="shared" si="49"/>
        <v>0.39877351888174817</v>
      </c>
      <c r="AY24" s="58">
        <f t="shared" ref="AY24:AY41" si="76">+(H24-H23)/(141.13*POWER(B24/12,0.1432))/60+AY23</f>
        <v>35.031983251830376</v>
      </c>
      <c r="AZ24" s="29">
        <f t="shared" si="50"/>
        <v>114.95961552168605</v>
      </c>
      <c r="BA24" s="77">
        <f t="shared" si="9"/>
        <v>0.2561683432541571</v>
      </c>
      <c r="BB24" s="29">
        <f t="shared" ref="BB24:BB41" si="77">+(H24-H23)/(89.451*POWER(B24/12,0.1513))/60+BB23</f>
        <v>54.509107477920836</v>
      </c>
      <c r="BC24" s="29">
        <f t="shared" si="51"/>
        <v>152.00074076103078</v>
      </c>
      <c r="BD24" s="77">
        <f t="shared" si="10"/>
        <v>0.33870831732916362</v>
      </c>
      <c r="BE24" s="29">
        <f t="shared" ref="BE24:BE41" si="78">+(H24-H23)/(118.43*POWER(B24/12,0.1505))/60+BE23</f>
        <v>41.227601980396877</v>
      </c>
      <c r="BF24" s="29">
        <f t="shared" si="52"/>
        <v>212.45964312028633</v>
      </c>
      <c r="BG24" s="77">
        <f t="shared" si="11"/>
        <v>0.47343090475303812</v>
      </c>
      <c r="BH24" s="29">
        <f t="shared" ref="BH24:BH41" si="79">+(H24-H23)/(153.15*POWER(B24/12,0.1974))/60+BH23</f>
        <v>29.418505451238566</v>
      </c>
      <c r="BI24" s="29">
        <f t="shared" si="53"/>
        <v>241.12624722685652</v>
      </c>
      <c r="BJ24" s="77">
        <f t="shared" si="12"/>
        <v>0.53730965423717869</v>
      </c>
      <c r="BK24" s="29">
        <f t="shared" ref="BK24:BK41" si="80">+($H24-$H23)/(203.74*POWER($B24/12,0.1016))/60+BK23</f>
        <v>26.060123867166752</v>
      </c>
      <c r="BL24" s="29">
        <f t="shared" si="54"/>
        <v>363.66567530836278</v>
      </c>
      <c r="BM24" s="77">
        <f t="shared" si="13"/>
        <v>0.81036834647880185</v>
      </c>
      <c r="BN24" s="32">
        <f t="shared" ref="BN24:BN41" si="81">+($H24-$H23)/(283.77*POWER($B24/12,0.1496))/60+BN23</f>
        <v>17.232698859686536</v>
      </c>
      <c r="BO24" s="74">
        <f t="shared" si="55"/>
        <v>260.56911405019991</v>
      </c>
      <c r="BP24" s="77">
        <f t="shared" si="14"/>
        <v>0.58063484247519548</v>
      </c>
      <c r="BQ24" s="29">
        <f t="shared" ref="BQ24:BQ41" si="82">+($H24-$H23)/(221.56*POWER($B24/12,0.0978))/60+BQ23</f>
        <v>24.120725520604047</v>
      </c>
      <c r="BR24" s="29">
        <f t="shared" si="56"/>
        <v>380.42281138220716</v>
      </c>
      <c r="BS24" s="77">
        <f t="shared" si="15"/>
        <v>0.84770883136335173</v>
      </c>
      <c r="BT24" s="29">
        <f t="shared" ref="BT24:BT41" si="83">+($H24-$H23)/(285.69*POWER($B24/12,0.1727))/60+BT23</f>
        <v>16.452387496596305</v>
      </c>
      <c r="BU24" s="29">
        <f t="shared" si="57"/>
        <v>440.3207578058566</v>
      </c>
      <c r="BV24" s="77">
        <f t="shared" si="16"/>
        <v>0.98118142197738389</v>
      </c>
      <c r="BW24" s="29">
        <f t="shared" ref="BW24:BW41" si="84">+($H24-$H23)/(325.99*POWER($B24/12,0.1813))/60+BW23</f>
        <v>14.207507791041607</v>
      </c>
      <c r="BX24" s="29">
        <f t="shared" si="58"/>
        <v>658.33475823980984</v>
      </c>
      <c r="BY24" s="77">
        <f t="shared" si="17"/>
        <v>1.4669892862777096</v>
      </c>
      <c r="BZ24" s="29">
        <f t="shared" ref="BZ24:BZ41" si="85">+($H24-$H23)/(411.28*POWER($B24/12,0.2837))/60+BZ23</f>
        <v>9.4485129483183758</v>
      </c>
      <c r="CA24" s="29">
        <f t="shared" si="59"/>
        <v>735.79334764678572</v>
      </c>
      <c r="CB24" s="77">
        <f t="shared" si="18"/>
        <v>1.6395928430062543</v>
      </c>
      <c r="CC24" s="32">
        <f t="shared" ref="CC24:CC41" si="86">+($H24-$H23)/(496.27*POWER($B24/12,0.2375))/60+CC23</f>
        <v>8.4756060133461268</v>
      </c>
      <c r="CD24" s="74">
        <f t="shared" si="60"/>
        <v>859.60568173782633</v>
      </c>
      <c r="CE24" s="77">
        <f t="shared" si="19"/>
        <v>1.9154879941391232</v>
      </c>
      <c r="CF24" s="29">
        <f t="shared" ref="CF24:CF41" si="87">+($H24-$H23)/(657.43*POWER($B24/12,0.1617))/60+CF23</f>
        <v>7.2855589313297582</v>
      </c>
    </row>
    <row r="25" spans="1:84" ht="15" customHeight="1">
      <c r="A25" s="28">
        <f t="shared" si="0"/>
        <v>57.600000000000009</v>
      </c>
      <c r="B25" s="28">
        <f t="shared" si="1"/>
        <v>59.400000000000006</v>
      </c>
      <c r="C25" s="28">
        <f t="shared" si="2"/>
        <v>3.6</v>
      </c>
      <c r="D25" s="29">
        <f t="shared" si="20"/>
        <v>280</v>
      </c>
      <c r="E25" s="29">
        <f t="shared" si="21"/>
        <v>180</v>
      </c>
      <c r="F25" s="29">
        <f t="shared" si="22"/>
        <v>15467.5</v>
      </c>
      <c r="G25" s="29">
        <f t="shared" si="23"/>
        <v>66160</v>
      </c>
      <c r="H25" s="29">
        <f t="shared" si="24"/>
        <v>494876.80000000005</v>
      </c>
      <c r="I25" s="30">
        <f t="shared" si="25"/>
        <v>0.28765217391304349</v>
      </c>
      <c r="J25" s="29">
        <f t="shared" si="26"/>
        <v>1.8183700469999367</v>
      </c>
      <c r="K25" s="77">
        <f t="shared" si="27"/>
        <v>4.0519345880648591E-3</v>
      </c>
      <c r="L25" s="29">
        <f t="shared" si="61"/>
        <v>4510.5905991005293</v>
      </c>
      <c r="M25" s="29">
        <f t="shared" si="28"/>
        <v>6.7356673423805846</v>
      </c>
      <c r="N25" s="77">
        <f t="shared" si="3"/>
        <v>1.5009312061271403E-2</v>
      </c>
      <c r="O25" s="29">
        <f t="shared" si="62"/>
        <v>1221.1589859665582</v>
      </c>
      <c r="P25" s="29">
        <f t="shared" si="29"/>
        <v>8.5048667641005053</v>
      </c>
      <c r="Q25" s="77">
        <f t="shared" si="30"/>
        <v>1.8951678106003962E-2</v>
      </c>
      <c r="R25" s="29">
        <f t="shared" si="63"/>
        <v>963.43166047852242</v>
      </c>
      <c r="S25" s="29">
        <f t="shared" si="31"/>
        <v>15.162953561755696</v>
      </c>
      <c r="T25" s="77">
        <f t="shared" si="32"/>
        <v>3.3788114853445607E-2</v>
      </c>
      <c r="U25" s="29">
        <f t="shared" si="64"/>
        <v>542.03711146209116</v>
      </c>
      <c r="V25" s="29">
        <f t="shared" si="33"/>
        <v>27.590329075714799</v>
      </c>
      <c r="W25" s="77">
        <f t="shared" si="34"/>
        <v>6.1480449957051146E-2</v>
      </c>
      <c r="X25" s="58">
        <f t="shared" si="65"/>
        <v>295.3467421631957</v>
      </c>
      <c r="Y25" s="55">
        <f t="shared" si="35"/>
        <v>18.614855628073641</v>
      </c>
      <c r="Z25" s="77">
        <f t="shared" si="36"/>
        <v>4.1480103291224098E-2</v>
      </c>
      <c r="AA25" s="29">
        <f t="shared" si="66"/>
        <v>439.60303925290737</v>
      </c>
      <c r="AB25" s="29">
        <f t="shared" si="37"/>
        <v>32.698545515377965</v>
      </c>
      <c r="AC25" s="77">
        <f t="shared" si="38"/>
        <v>7.2863258923433913E-2</v>
      </c>
      <c r="AD25" s="29">
        <f t="shared" si="67"/>
        <v>250.85872916355038</v>
      </c>
      <c r="AE25" s="55">
        <f t="shared" si="39"/>
        <v>57.261708882610868</v>
      </c>
      <c r="AF25" s="77">
        <f t="shared" si="40"/>
        <v>0.12759817462675124</v>
      </c>
      <c r="AG25" s="29">
        <f t="shared" si="68"/>
        <v>142.10856687703591</v>
      </c>
      <c r="AH25" s="29">
        <f t="shared" si="41"/>
        <v>73.162558864129238</v>
      </c>
      <c r="AI25" s="77">
        <f t="shared" si="42"/>
        <v>0.16303056866890134</v>
      </c>
      <c r="AJ25" s="58">
        <f t="shared" si="69"/>
        <v>111.55201481301197</v>
      </c>
      <c r="AK25" s="29">
        <f t="shared" si="43"/>
        <v>35.306011249653373</v>
      </c>
      <c r="AL25" s="77">
        <f t="shared" si="44"/>
        <v>7.8673561734644279E-2</v>
      </c>
      <c r="AM25" s="29">
        <f t="shared" si="70"/>
        <v>232.66303424582657</v>
      </c>
      <c r="AN25" s="29">
        <f t="shared" si="45"/>
        <v>53.116032669222911</v>
      </c>
      <c r="AO25" s="77">
        <f t="shared" si="46"/>
        <v>0.11836022613125173</v>
      </c>
      <c r="AP25" s="29">
        <f t="shared" si="71"/>
        <v>154.57405469917433</v>
      </c>
      <c r="AQ25" s="29">
        <f t="shared" si="72"/>
        <v>81.110572860851406</v>
      </c>
      <c r="AR25" s="77">
        <f t="shared" si="6"/>
        <v>0.18074139319159724</v>
      </c>
      <c r="AS25" s="29">
        <f t="shared" si="73"/>
        <v>93.724013689578072</v>
      </c>
      <c r="AT25" s="55">
        <f t="shared" si="74"/>
        <v>110.97212391611478</v>
      </c>
      <c r="AU25" s="77">
        <f t="shared" si="47"/>
        <v>0.24728288279307578</v>
      </c>
      <c r="AV25" s="29">
        <f t="shared" si="75"/>
        <v>73.860431072799713</v>
      </c>
      <c r="AW25" s="29">
        <f t="shared" si="48"/>
        <v>177.45441382193391</v>
      </c>
      <c r="AX25" s="77">
        <f t="shared" si="49"/>
        <v>0.39542758546654277</v>
      </c>
      <c r="AY25" s="58">
        <f t="shared" si="76"/>
        <v>45.898332671583866</v>
      </c>
      <c r="AZ25" s="29">
        <f t="shared" si="50"/>
        <v>113.94072188128943</v>
      </c>
      <c r="BA25" s="77">
        <f t="shared" si="9"/>
        <v>0.25389790859213995</v>
      </c>
      <c r="BB25" s="29">
        <f t="shared" si="77"/>
        <v>71.432658907370893</v>
      </c>
      <c r="BC25" s="29">
        <f t="shared" si="51"/>
        <v>150.66064130241358</v>
      </c>
      <c r="BD25" s="77">
        <f t="shared" si="10"/>
        <v>0.33572212903554494</v>
      </c>
      <c r="BE25" s="29">
        <f t="shared" si="78"/>
        <v>54.026443469436629</v>
      </c>
      <c r="BF25" s="29">
        <f t="shared" si="52"/>
        <v>210.00617622826996</v>
      </c>
      <c r="BG25" s="77">
        <f t="shared" si="11"/>
        <v>0.4679637626953283</v>
      </c>
      <c r="BH25" s="29">
        <f t="shared" si="79"/>
        <v>38.600529053109625</v>
      </c>
      <c r="BI25" s="29">
        <f t="shared" si="53"/>
        <v>239.68904775848981</v>
      </c>
      <c r="BJ25" s="77">
        <f t="shared" si="12"/>
        <v>0.53410709475516815</v>
      </c>
      <c r="BK25" s="29">
        <f t="shared" si="80"/>
        <v>34.105054099480078</v>
      </c>
      <c r="BL25" s="29">
        <f t="shared" si="54"/>
        <v>360.47854210132402</v>
      </c>
      <c r="BM25" s="77">
        <f t="shared" si="13"/>
        <v>0.80326635131578383</v>
      </c>
      <c r="BN25" s="32">
        <f t="shared" si="81"/>
        <v>22.581926182417611</v>
      </c>
      <c r="BO25" s="74">
        <f t="shared" si="55"/>
        <v>259.07394895667227</v>
      </c>
      <c r="BP25" s="77">
        <f t="shared" si="14"/>
        <v>0.57730311625845132</v>
      </c>
      <c r="BQ25" s="29">
        <f t="shared" si="82"/>
        <v>31.563703382454428</v>
      </c>
      <c r="BR25" s="29">
        <f t="shared" si="56"/>
        <v>376.57662332819251</v>
      </c>
      <c r="BS25" s="77">
        <f t="shared" si="15"/>
        <v>0.83913824231632239</v>
      </c>
      <c r="BT25" s="29">
        <f t="shared" si="83"/>
        <v>21.572943439831633</v>
      </c>
      <c r="BU25" s="29">
        <f t="shared" si="57"/>
        <v>435.64847740868402</v>
      </c>
      <c r="BV25" s="77">
        <f t="shared" si="16"/>
        <v>0.97077002382568434</v>
      </c>
      <c r="BW25" s="29">
        <f t="shared" si="84"/>
        <v>18.633740790032984</v>
      </c>
      <c r="BX25" s="29">
        <f t="shared" si="58"/>
        <v>647.43636012567731</v>
      </c>
      <c r="BY25" s="77">
        <f t="shared" si="17"/>
        <v>1.4427040224800511</v>
      </c>
      <c r="BZ25" s="29">
        <f t="shared" si="85"/>
        <v>12.426846859457315</v>
      </c>
      <c r="CA25" s="29">
        <f t="shared" si="59"/>
        <v>725.58242915081257</v>
      </c>
      <c r="CB25" s="77">
        <f t="shared" si="18"/>
        <v>1.6168395129577275</v>
      </c>
      <c r="CC25" s="32">
        <f t="shared" si="86"/>
        <v>11.13316990849645</v>
      </c>
      <c r="CD25" s="74">
        <f t="shared" si="60"/>
        <v>851.46574104331819</v>
      </c>
      <c r="CE25" s="77">
        <f t="shared" si="19"/>
        <v>1.8973494929581942</v>
      </c>
      <c r="CF25" s="29">
        <f t="shared" si="87"/>
        <v>9.5502204129577848</v>
      </c>
    </row>
    <row r="26" spans="1:84" ht="15" customHeight="1">
      <c r="A26" s="28">
        <f t="shared" si="0"/>
        <v>54.000000000000007</v>
      </c>
      <c r="B26" s="28">
        <f t="shared" si="1"/>
        <v>55.800000000000011</v>
      </c>
      <c r="C26" s="28">
        <f t="shared" si="2"/>
        <v>3.6</v>
      </c>
      <c r="D26" s="29">
        <f t="shared" si="20"/>
        <v>275</v>
      </c>
      <c r="E26" s="29">
        <f t="shared" si="21"/>
        <v>175</v>
      </c>
      <c r="F26" s="29">
        <f t="shared" si="22"/>
        <v>14777.5</v>
      </c>
      <c r="G26" s="29">
        <f t="shared" si="23"/>
        <v>80937.5</v>
      </c>
      <c r="H26" s="29">
        <f t="shared" si="24"/>
        <v>605412.5</v>
      </c>
      <c r="I26" s="30">
        <f t="shared" si="25"/>
        <v>0.35190217391304346</v>
      </c>
      <c r="J26" s="29">
        <f t="shared" si="26"/>
        <v>1.8111540278291773</v>
      </c>
      <c r="K26" s="77">
        <f t="shared" si="27"/>
        <v>4.0358548920126835E-3</v>
      </c>
      <c r="L26" s="29">
        <f t="shared" si="61"/>
        <v>5527.7661890059189</v>
      </c>
      <c r="M26" s="29">
        <f t="shared" si="28"/>
        <v>6.7225413191889336</v>
      </c>
      <c r="N26" s="77">
        <f t="shared" si="3"/>
        <v>1.4980062906259341E-2</v>
      </c>
      <c r="O26" s="29">
        <f t="shared" si="62"/>
        <v>1495.2014319992934</v>
      </c>
      <c r="P26" s="29">
        <f t="shared" si="29"/>
        <v>8.4651864169380975</v>
      </c>
      <c r="Q26" s="77">
        <f t="shared" si="30"/>
        <v>1.8863257065743728E-2</v>
      </c>
      <c r="R26" s="29">
        <f t="shared" si="63"/>
        <v>1181.0596695889255</v>
      </c>
      <c r="S26" s="29">
        <f t="shared" si="31"/>
        <v>15.124986644322115</v>
      </c>
      <c r="T26" s="77">
        <f t="shared" si="32"/>
        <v>3.3703511905764455E-2</v>
      </c>
      <c r="U26" s="29">
        <f t="shared" si="64"/>
        <v>663.83964325859006</v>
      </c>
      <c r="V26" s="29">
        <f t="shared" si="33"/>
        <v>27.353650961393644</v>
      </c>
      <c r="W26" s="77">
        <f t="shared" si="34"/>
        <v>6.0953052225638842E-2</v>
      </c>
      <c r="X26" s="58">
        <f t="shared" si="65"/>
        <v>362.69649628803973</v>
      </c>
      <c r="Y26" s="55">
        <f t="shared" si="35"/>
        <v>18.510754279562072</v>
      </c>
      <c r="Z26" s="77">
        <f t="shared" si="36"/>
        <v>4.1248130786290825E-2</v>
      </c>
      <c r="AA26" s="29">
        <f t="shared" si="66"/>
        <v>539.12689651142693</v>
      </c>
      <c r="AB26" s="29">
        <f t="shared" si="37"/>
        <v>32.571024527038951</v>
      </c>
      <c r="AC26" s="77">
        <f t="shared" si="38"/>
        <v>7.2579099654418472E-2</v>
      </c>
      <c r="AD26" s="29">
        <f t="shared" si="67"/>
        <v>307.42009600472255</v>
      </c>
      <c r="AE26" s="55">
        <f t="shared" si="39"/>
        <v>56.714094757021719</v>
      </c>
      <c r="AF26" s="77">
        <f t="shared" si="40"/>
        <v>0.12637790781689676</v>
      </c>
      <c r="AG26" s="29">
        <f t="shared" si="68"/>
        <v>174.59187943909663</v>
      </c>
      <c r="AH26" s="29">
        <f t="shared" si="41"/>
        <v>72.615714846378054</v>
      </c>
      <c r="AI26" s="77">
        <f t="shared" si="42"/>
        <v>0.16181201791601246</v>
      </c>
      <c r="AJ26" s="58">
        <f t="shared" si="69"/>
        <v>136.92202832267799</v>
      </c>
      <c r="AK26" s="29">
        <f t="shared" si="43"/>
        <v>35.203958978920049</v>
      </c>
      <c r="AL26" s="77">
        <f t="shared" si="44"/>
        <v>7.8446155258026853E-2</v>
      </c>
      <c r="AM26" s="29">
        <f t="shared" si="70"/>
        <v>284.99412768249948</v>
      </c>
      <c r="AN26" s="29">
        <f t="shared" si="45"/>
        <v>52.943960740745666</v>
      </c>
      <c r="AO26" s="77">
        <f t="shared" si="46"/>
        <v>0.11797679251729494</v>
      </c>
      <c r="AP26" s="29">
        <f t="shared" si="71"/>
        <v>189.37050061843215</v>
      </c>
      <c r="AQ26" s="29">
        <f t="shared" si="72"/>
        <v>80.734161969325129</v>
      </c>
      <c r="AR26" s="77">
        <f t="shared" si="6"/>
        <v>0.17990262425497952</v>
      </c>
      <c r="AS26" s="29">
        <f t="shared" si="73"/>
        <v>116.54287526847985</v>
      </c>
      <c r="AT26" s="55">
        <f t="shared" si="74"/>
        <v>110.47923496880497</v>
      </c>
      <c r="AU26" s="77">
        <f t="shared" si="47"/>
        <v>0.24618456192215377</v>
      </c>
      <c r="AV26" s="29">
        <f t="shared" si="75"/>
        <v>90.535615936152979</v>
      </c>
      <c r="AW26" s="29">
        <f t="shared" si="48"/>
        <v>175.8727702423889</v>
      </c>
      <c r="AX26" s="77">
        <f t="shared" si="49"/>
        <v>0.39190315635678996</v>
      </c>
      <c r="AY26" s="58">
        <f t="shared" si="76"/>
        <v>56.373300821159546</v>
      </c>
      <c r="AZ26" s="29">
        <f t="shared" si="50"/>
        <v>112.86800060240181</v>
      </c>
      <c r="BA26" s="77">
        <f t="shared" si="9"/>
        <v>0.25150752800901871</v>
      </c>
      <c r="BB26" s="29">
        <f t="shared" si="77"/>
        <v>87.754926129560559</v>
      </c>
      <c r="BC26" s="29">
        <f t="shared" si="51"/>
        <v>149.2496765771499</v>
      </c>
      <c r="BD26" s="77">
        <f t="shared" si="10"/>
        <v>0.33257802930608243</v>
      </c>
      <c r="BE26" s="29">
        <f t="shared" si="78"/>
        <v>66.369931970829583</v>
      </c>
      <c r="BF26" s="29">
        <f t="shared" si="52"/>
        <v>207.43030887794234</v>
      </c>
      <c r="BG26" s="77">
        <f t="shared" si="11"/>
        <v>0.4622238716163482</v>
      </c>
      <c r="BH26" s="29">
        <f t="shared" si="79"/>
        <v>47.481881429394726</v>
      </c>
      <c r="BI26" s="29">
        <f t="shared" si="53"/>
        <v>238.17135192060408</v>
      </c>
      <c r="BJ26" s="77">
        <f t="shared" si="12"/>
        <v>0.53072516252974611</v>
      </c>
      <c r="BK26" s="29">
        <f t="shared" si="80"/>
        <v>41.840080381233712</v>
      </c>
      <c r="BL26" s="29">
        <f t="shared" si="54"/>
        <v>357.1226881210481</v>
      </c>
      <c r="BM26" s="77">
        <f t="shared" si="13"/>
        <v>0.79578839002973567</v>
      </c>
      <c r="BN26" s="32">
        <f t="shared" si="81"/>
        <v>27.740550173403655</v>
      </c>
      <c r="BO26" s="74">
        <f t="shared" si="55"/>
        <v>257.49467679303768</v>
      </c>
      <c r="BP26" s="77">
        <f t="shared" si="14"/>
        <v>0.5737839714538191</v>
      </c>
      <c r="BQ26" s="29">
        <f t="shared" si="82"/>
        <v>38.718265525684252</v>
      </c>
      <c r="BR26" s="29">
        <f t="shared" si="56"/>
        <v>372.53249752750514</v>
      </c>
      <c r="BS26" s="77">
        <f t="shared" si="15"/>
        <v>0.83012658199045741</v>
      </c>
      <c r="BT26" s="29">
        <f t="shared" si="83"/>
        <v>26.518180912786988</v>
      </c>
      <c r="BU26" s="29">
        <f t="shared" si="57"/>
        <v>430.73830855044412</v>
      </c>
      <c r="BV26" s="77">
        <f t="shared" si="16"/>
        <v>0.95982853088657316</v>
      </c>
      <c r="BW26" s="29">
        <f t="shared" si="84"/>
        <v>22.910726677047297</v>
      </c>
      <c r="BX26" s="29">
        <f t="shared" si="58"/>
        <v>636.05400798333176</v>
      </c>
      <c r="BY26" s="77">
        <f t="shared" si="17"/>
        <v>1.4173403477895243</v>
      </c>
      <c r="BZ26" s="29">
        <f t="shared" si="85"/>
        <v>15.323238743705836</v>
      </c>
      <c r="CA26" s="29">
        <f t="shared" si="59"/>
        <v>714.88815087255398</v>
      </c>
      <c r="CB26" s="77">
        <f t="shared" si="18"/>
        <v>1.5930090961943413</v>
      </c>
      <c r="CC26" s="32">
        <f t="shared" si="86"/>
        <v>13.71016277712646</v>
      </c>
      <c r="CD26" s="74">
        <f t="shared" si="60"/>
        <v>842.90117745767441</v>
      </c>
      <c r="CE26" s="77">
        <f t="shared" si="19"/>
        <v>1.8782647904348513</v>
      </c>
      <c r="CF26" s="29">
        <f t="shared" si="87"/>
        <v>11.73584040725323</v>
      </c>
    </row>
    <row r="27" spans="1:84" ht="15" customHeight="1">
      <c r="A27" s="28">
        <f t="shared" si="0"/>
        <v>50.400000000000006</v>
      </c>
      <c r="B27" s="28">
        <f t="shared" si="1"/>
        <v>52.2</v>
      </c>
      <c r="C27" s="28">
        <f t="shared" si="2"/>
        <v>3.6</v>
      </c>
      <c r="D27" s="29">
        <f t="shared" si="20"/>
        <v>270</v>
      </c>
      <c r="E27" s="29">
        <f t="shared" si="21"/>
        <v>170</v>
      </c>
      <c r="F27" s="29">
        <f t="shared" si="22"/>
        <v>14102.5</v>
      </c>
      <c r="G27" s="29">
        <f t="shared" si="23"/>
        <v>95040</v>
      </c>
      <c r="H27" s="29">
        <f t="shared" si="24"/>
        <v>710899.20000000007</v>
      </c>
      <c r="I27" s="30">
        <f t="shared" si="25"/>
        <v>0.41321739130434787</v>
      </c>
      <c r="J27" s="29">
        <f t="shared" si="26"/>
        <v>1.8034881578314772</v>
      </c>
      <c r="K27" s="77">
        <f t="shared" si="27"/>
        <v>4.0187727783678089E-3</v>
      </c>
      <c r="L27" s="29">
        <f t="shared" si="61"/>
        <v>6502.6057847261536</v>
      </c>
      <c r="M27" s="29">
        <f t="shared" si="28"/>
        <v>6.7085677938370765</v>
      </c>
      <c r="N27" s="77">
        <f t="shared" si="3"/>
        <v>1.4948925233933621E-2</v>
      </c>
      <c r="O27" s="29">
        <f t="shared" si="62"/>
        <v>1757.2710302646315</v>
      </c>
      <c r="P27" s="29">
        <f t="shared" si="29"/>
        <v>8.4230628634465603</v>
      </c>
      <c r="Q27" s="77">
        <f t="shared" si="30"/>
        <v>1.8769391747380085E-2</v>
      </c>
      <c r="R27" s="29">
        <f t="shared" si="63"/>
        <v>1389.7856039870076</v>
      </c>
      <c r="S27" s="29">
        <f t="shared" si="31"/>
        <v>15.084591566604677</v>
      </c>
      <c r="T27" s="77">
        <f t="shared" si="32"/>
        <v>3.3613498207584094E-2</v>
      </c>
      <c r="U27" s="29">
        <f t="shared" si="64"/>
        <v>780.38981028856108</v>
      </c>
      <c r="V27" s="29">
        <f t="shared" si="33"/>
        <v>27.103420534739069</v>
      </c>
      <c r="W27" s="77">
        <f t="shared" si="34"/>
        <v>6.0395455424910233E-2</v>
      </c>
      <c r="X27" s="58">
        <f t="shared" si="65"/>
        <v>427.56327811778169</v>
      </c>
      <c r="Y27" s="55">
        <f t="shared" si="35"/>
        <v>18.400349505596264</v>
      </c>
      <c r="Z27" s="77">
        <f t="shared" si="36"/>
        <v>4.1002112148303675E-2</v>
      </c>
      <c r="AA27" s="29">
        <f t="shared" si="66"/>
        <v>634.67462869618555</v>
      </c>
      <c r="AB27" s="29">
        <f t="shared" si="37"/>
        <v>32.435544178865435</v>
      </c>
      <c r="AC27" s="77">
        <f t="shared" si="38"/>
        <v>7.2277204278571816E-2</v>
      </c>
      <c r="AD27" s="29">
        <f t="shared" si="67"/>
        <v>361.62333850226111</v>
      </c>
      <c r="AE27" s="55">
        <f t="shared" si="39"/>
        <v>56.135718333337287</v>
      </c>
      <c r="AF27" s="77">
        <f t="shared" si="40"/>
        <v>0.12508909235278659</v>
      </c>
      <c r="AG27" s="29">
        <f t="shared" si="68"/>
        <v>205.91082785313301</v>
      </c>
      <c r="AH27" s="29">
        <f t="shared" si="41"/>
        <v>72.036893060943513</v>
      </c>
      <c r="AI27" s="77">
        <f t="shared" si="42"/>
        <v>0.16052221003746914</v>
      </c>
      <c r="AJ27" s="58">
        <f t="shared" si="69"/>
        <v>161.32774033998137</v>
      </c>
      <c r="AK27" s="29">
        <f t="shared" si="43"/>
        <v>35.095423474618968</v>
      </c>
      <c r="AL27" s="77">
        <f t="shared" si="44"/>
        <v>7.8204301975942608E-2</v>
      </c>
      <c r="AM27" s="29">
        <f t="shared" si="70"/>
        <v>335.089310831896</v>
      </c>
      <c r="AN27" s="29">
        <f t="shared" si="45"/>
        <v>52.761023525925083</v>
      </c>
      <c r="AO27" s="77">
        <f t="shared" si="46"/>
        <v>0.11756914742360308</v>
      </c>
      <c r="AP27" s="29">
        <f t="shared" si="71"/>
        <v>222.69266818030266</v>
      </c>
      <c r="AQ27" s="29">
        <f t="shared" si="72"/>
        <v>80.334564304685159</v>
      </c>
      <c r="AR27" s="77">
        <f t="shared" si="6"/>
        <v>0.17901218745894013</v>
      </c>
      <c r="AS27" s="29">
        <f t="shared" si="73"/>
        <v>138.42774738901159</v>
      </c>
      <c r="AT27" s="55">
        <f t="shared" si="74"/>
        <v>109.9558760608691</v>
      </c>
      <c r="AU27" s="77">
        <f t="shared" si="47"/>
        <v>0.24501834382230334</v>
      </c>
      <c r="AV27" s="29">
        <f t="shared" si="75"/>
        <v>106.52486298369973</v>
      </c>
      <c r="AW27" s="29">
        <f t="shared" si="48"/>
        <v>174.20114415387232</v>
      </c>
      <c r="AX27" s="77">
        <f t="shared" si="49"/>
        <v>0.38817821622287885</v>
      </c>
      <c r="AY27" s="58">
        <f t="shared" si="76"/>
        <v>66.465724009343219</v>
      </c>
      <c r="AZ27" s="29">
        <f t="shared" si="50"/>
        <v>111.73484339115586</v>
      </c>
      <c r="BA27" s="77">
        <f t="shared" si="9"/>
        <v>0.24898247602329232</v>
      </c>
      <c r="BB27" s="29">
        <f t="shared" si="77"/>
        <v>103.4896030960996</v>
      </c>
      <c r="BC27" s="29">
        <f t="shared" si="51"/>
        <v>147.75914262952887</v>
      </c>
      <c r="BD27" s="77">
        <f t="shared" si="10"/>
        <v>0.32925662282613355</v>
      </c>
      <c r="BE27" s="29">
        <f t="shared" si="78"/>
        <v>78.268428641690193</v>
      </c>
      <c r="BF27" s="29">
        <f t="shared" si="52"/>
        <v>204.71741097373351</v>
      </c>
      <c r="BG27" s="77">
        <f t="shared" si="11"/>
        <v>0.45617863078646953</v>
      </c>
      <c r="BH27" s="29">
        <f t="shared" si="79"/>
        <v>56.069874303592634</v>
      </c>
      <c r="BI27" s="29">
        <f t="shared" si="53"/>
        <v>236.56299521865151</v>
      </c>
      <c r="BJ27" s="77">
        <f t="shared" si="12"/>
        <v>0.52714120767889516</v>
      </c>
      <c r="BK27" s="29">
        <f t="shared" si="80"/>
        <v>49.271976756411377</v>
      </c>
      <c r="BL27" s="29">
        <f t="shared" si="54"/>
        <v>353.57737971402298</v>
      </c>
      <c r="BM27" s="77">
        <f t="shared" si="13"/>
        <v>0.78788826112941457</v>
      </c>
      <c r="BN27" s="32">
        <f t="shared" si="81"/>
        <v>32.712903518203731</v>
      </c>
      <c r="BO27" s="74">
        <f t="shared" si="55"/>
        <v>255.82065455327182</v>
      </c>
      <c r="BP27" s="77">
        <f t="shared" si="14"/>
        <v>0.57005369189620747</v>
      </c>
      <c r="BQ27" s="29">
        <f t="shared" si="82"/>
        <v>45.590703835002081</v>
      </c>
      <c r="BR27" s="29">
        <f t="shared" si="56"/>
        <v>368.26643167429535</v>
      </c>
      <c r="BS27" s="77">
        <f t="shared" si="15"/>
        <v>0.82062036524755488</v>
      </c>
      <c r="BT27" s="29">
        <f t="shared" si="83"/>
        <v>31.292201880903868</v>
      </c>
      <c r="BU27" s="29">
        <f t="shared" si="57"/>
        <v>425.56154824038532</v>
      </c>
      <c r="BV27" s="77">
        <f t="shared" si="16"/>
        <v>0.94829298332899203</v>
      </c>
      <c r="BW27" s="29">
        <f t="shared" si="84"/>
        <v>27.042001398497391</v>
      </c>
      <c r="BX27" s="29">
        <f t="shared" si="58"/>
        <v>624.13278050403392</v>
      </c>
      <c r="BY27" s="77">
        <f t="shared" si="17"/>
        <v>1.3907758792231557</v>
      </c>
      <c r="BZ27" s="29">
        <f t="shared" si="85"/>
        <v>18.140125985627115</v>
      </c>
      <c r="CA27" s="29">
        <f t="shared" si="59"/>
        <v>703.65409752427354</v>
      </c>
      <c r="CB27" s="77">
        <f t="shared" si="18"/>
        <v>1.5679758806499229</v>
      </c>
      <c r="CC27" s="32">
        <f t="shared" si="86"/>
        <v>16.20870811758903</v>
      </c>
      <c r="CD27" s="74">
        <f t="shared" si="60"/>
        <v>833.86017185722085</v>
      </c>
      <c r="CE27" s="77">
        <f t="shared" si="19"/>
        <v>1.8581184162885074</v>
      </c>
      <c r="CF27" s="29">
        <f t="shared" si="87"/>
        <v>13.844241462973281</v>
      </c>
    </row>
    <row r="28" spans="1:84" ht="15" customHeight="1">
      <c r="A28" s="28">
        <f t="shared" si="0"/>
        <v>46.800000000000004</v>
      </c>
      <c r="B28" s="28">
        <f t="shared" si="1"/>
        <v>48.600000000000009</v>
      </c>
      <c r="C28" s="28">
        <f t="shared" si="2"/>
        <v>3.6</v>
      </c>
      <c r="D28" s="29">
        <f t="shared" si="20"/>
        <v>265</v>
      </c>
      <c r="E28" s="29">
        <f t="shared" si="21"/>
        <v>165</v>
      </c>
      <c r="F28" s="29">
        <f t="shared" si="22"/>
        <v>13442.5</v>
      </c>
      <c r="G28" s="29">
        <f t="shared" si="23"/>
        <v>108482.5</v>
      </c>
      <c r="H28" s="29">
        <f t="shared" si="24"/>
        <v>811449.10000000009</v>
      </c>
      <c r="I28" s="30">
        <f t="shared" si="25"/>
        <v>0.47166304347826093</v>
      </c>
      <c r="J28" s="29">
        <f t="shared" si="26"/>
        <v>1.7953102801346716</v>
      </c>
      <c r="K28" s="77">
        <f t="shared" si="27"/>
        <v>4.0005497409000938E-3</v>
      </c>
      <c r="L28" s="29">
        <f t="shared" si="61"/>
        <v>7436.0553868422612</v>
      </c>
      <c r="M28" s="29">
        <f t="shared" si="28"/>
        <v>6.6936275708905058</v>
      </c>
      <c r="N28" s="77">
        <f t="shared" si="3"/>
        <v>1.4915633437134345E-2</v>
      </c>
      <c r="O28" s="29">
        <f t="shared" si="62"/>
        <v>2007.6332813636598</v>
      </c>
      <c r="P28" s="29">
        <f t="shared" si="29"/>
        <v>8.3781606043062133</v>
      </c>
      <c r="Q28" s="77">
        <f t="shared" si="30"/>
        <v>1.8669334546595681E-2</v>
      </c>
      <c r="R28" s="29">
        <f t="shared" si="63"/>
        <v>1589.8094213634997</v>
      </c>
      <c r="S28" s="29">
        <f t="shared" si="31"/>
        <v>15.041428473810516</v>
      </c>
      <c r="T28" s="77">
        <f t="shared" si="32"/>
        <v>3.3517316449141105E-2</v>
      </c>
      <c r="U28" s="29">
        <f t="shared" si="64"/>
        <v>891.80420617420134</v>
      </c>
      <c r="V28" s="29">
        <f t="shared" si="33"/>
        <v>26.837841656247363</v>
      </c>
      <c r="W28" s="77">
        <f t="shared" si="34"/>
        <v>5.9803657157337882E-2</v>
      </c>
      <c r="X28" s="58">
        <f t="shared" si="65"/>
        <v>490.00614100264278</v>
      </c>
      <c r="Y28" s="55">
        <f t="shared" si="35"/>
        <v>18.282782870339769</v>
      </c>
      <c r="Z28" s="77">
        <f t="shared" si="36"/>
        <v>4.074013449607379E-2</v>
      </c>
      <c r="AA28" s="29">
        <f t="shared" si="66"/>
        <v>726.3363674233558</v>
      </c>
      <c r="AB28" s="29">
        <f t="shared" si="37"/>
        <v>32.291004041688005</v>
      </c>
      <c r="AC28" s="77">
        <f t="shared" si="38"/>
        <v>7.1955120672894779E-2</v>
      </c>
      <c r="AD28" s="29">
        <f t="shared" si="67"/>
        <v>413.52112602547197</v>
      </c>
      <c r="AE28" s="55">
        <f t="shared" si="39"/>
        <v>55.522539620527354</v>
      </c>
      <c r="AF28" s="77">
        <f t="shared" si="40"/>
        <v>0.12372272578774179</v>
      </c>
      <c r="AG28" s="29">
        <f t="shared" si="68"/>
        <v>236.0937351574504</v>
      </c>
      <c r="AH28" s="29">
        <f t="shared" si="41"/>
        <v>71.42181220280338</v>
      </c>
      <c r="AI28" s="77">
        <f t="shared" si="42"/>
        <v>0.15915160485858021</v>
      </c>
      <c r="AJ28" s="58">
        <f t="shared" si="69"/>
        <v>184.79160403904456</v>
      </c>
      <c r="AK28" s="29">
        <f t="shared" si="43"/>
        <v>34.979500384563565</v>
      </c>
      <c r="AL28" s="77">
        <f t="shared" si="44"/>
        <v>7.7945986690269156E-2</v>
      </c>
      <c r="AM28" s="29">
        <f t="shared" si="70"/>
        <v>382.9982760327315</v>
      </c>
      <c r="AN28" s="29">
        <f t="shared" si="45"/>
        <v>52.565710055963727</v>
      </c>
      <c r="AO28" s="77">
        <f t="shared" si="46"/>
        <v>0.11713392390803917</v>
      </c>
      <c r="AP28" s="29">
        <f t="shared" si="71"/>
        <v>254.57336882873875</v>
      </c>
      <c r="AQ28" s="29">
        <f t="shared" si="72"/>
        <v>79.908595170043355</v>
      </c>
      <c r="AR28" s="77">
        <f t="shared" si="6"/>
        <v>0.17806298623724665</v>
      </c>
      <c r="AS28" s="29">
        <f t="shared" si="73"/>
        <v>159.39960483564224</v>
      </c>
      <c r="AT28" s="55">
        <f t="shared" si="74"/>
        <v>109.39785472825508</v>
      </c>
      <c r="AU28" s="77">
        <f t="shared" si="47"/>
        <v>0.24377488628612845</v>
      </c>
      <c r="AV28" s="29">
        <f t="shared" si="75"/>
        <v>121.84355155240561</v>
      </c>
      <c r="AW28" s="29">
        <f t="shared" si="48"/>
        <v>172.4276466552156</v>
      </c>
      <c r="AX28" s="77">
        <f t="shared" si="49"/>
        <v>0.38422627263003878</v>
      </c>
      <c r="AY28" s="58">
        <f t="shared" si="76"/>
        <v>76.184766745092205</v>
      </c>
      <c r="AZ28" s="29">
        <f t="shared" si="50"/>
        <v>110.53330225603759</v>
      </c>
      <c r="BA28" s="77">
        <f t="shared" si="9"/>
        <v>0.24630504186053712</v>
      </c>
      <c r="BB28" s="29">
        <f t="shared" si="77"/>
        <v>118.6509312430213</v>
      </c>
      <c r="BC28" s="29">
        <f t="shared" si="51"/>
        <v>146.17857040890735</v>
      </c>
      <c r="BD28" s="77">
        <f t="shared" si="10"/>
        <v>0.32573458106118192</v>
      </c>
      <c r="BE28" s="29">
        <f t="shared" si="78"/>
        <v>89.732705942930991</v>
      </c>
      <c r="BF28" s="29">
        <f t="shared" si="52"/>
        <v>201.84993910441074</v>
      </c>
      <c r="BG28" s="77">
        <f t="shared" si="11"/>
        <v>0.44978894763766192</v>
      </c>
      <c r="BH28" s="29">
        <f t="shared" si="79"/>
        <v>64.372238297865678</v>
      </c>
      <c r="BI28" s="29">
        <f t="shared" si="53"/>
        <v>234.85171295765477</v>
      </c>
      <c r="BJ28" s="77">
        <f t="shared" si="12"/>
        <v>0.52332790037397414</v>
      </c>
      <c r="BK28" s="29">
        <f t="shared" si="80"/>
        <v>56.407678027488885</v>
      </c>
      <c r="BL28" s="29">
        <f t="shared" si="54"/>
        <v>349.81767714329982</v>
      </c>
      <c r="BM28" s="77">
        <f t="shared" si="13"/>
        <v>0.77951039056765314</v>
      </c>
      <c r="BN28" s="32">
        <f t="shared" si="81"/>
        <v>37.503489518179308</v>
      </c>
      <c r="BO28" s="74">
        <f t="shared" si="55"/>
        <v>254.03903698788582</v>
      </c>
      <c r="BP28" s="77">
        <f t="shared" si="14"/>
        <v>0.56608365408800565</v>
      </c>
      <c r="BQ28" s="29">
        <f t="shared" si="82"/>
        <v>52.187452454965481</v>
      </c>
      <c r="BR28" s="29">
        <f t="shared" si="56"/>
        <v>363.74959760451975</v>
      </c>
      <c r="BS28" s="77">
        <f t="shared" si="15"/>
        <v>0.81055535332873818</v>
      </c>
      <c r="BT28" s="29">
        <f t="shared" si="83"/>
        <v>35.899304342880157</v>
      </c>
      <c r="BU28" s="29">
        <f t="shared" si="57"/>
        <v>420.08374178128918</v>
      </c>
      <c r="BV28" s="77">
        <f t="shared" si="16"/>
        <v>0.93608660460263948</v>
      </c>
      <c r="BW28" s="29">
        <f t="shared" si="84"/>
        <v>31.031281391959183</v>
      </c>
      <c r="BX28" s="29">
        <f t="shared" si="58"/>
        <v>611.60718809486923</v>
      </c>
      <c r="BY28" s="77">
        <f t="shared" si="17"/>
        <v>1.3628646841380672</v>
      </c>
      <c r="BZ28" s="29">
        <f t="shared" si="85"/>
        <v>20.880171719698378</v>
      </c>
      <c r="CA28" s="29">
        <f t="shared" si="59"/>
        <v>691.81279580253783</v>
      </c>
      <c r="CB28" s="77">
        <f t="shared" si="18"/>
        <v>1.5415895133133219</v>
      </c>
      <c r="CC28" s="32">
        <f t="shared" si="86"/>
        <v>18.631085496027971</v>
      </c>
      <c r="CD28" s="74">
        <f t="shared" si="60"/>
        <v>824.28044195348036</v>
      </c>
      <c r="CE28" s="77">
        <f t="shared" si="19"/>
        <v>1.8367715848196722</v>
      </c>
      <c r="CF28" s="29">
        <f t="shared" si="87"/>
        <v>15.877325813118818</v>
      </c>
    </row>
    <row r="29" spans="1:84" ht="15" customHeight="1">
      <c r="A29" s="28">
        <f t="shared" si="0"/>
        <v>43.2</v>
      </c>
      <c r="B29" s="28">
        <f t="shared" si="1"/>
        <v>45</v>
      </c>
      <c r="C29" s="28">
        <f t="shared" si="2"/>
        <v>3.6</v>
      </c>
      <c r="D29" s="29">
        <f t="shared" si="20"/>
        <v>260</v>
      </c>
      <c r="E29" s="29">
        <f t="shared" si="21"/>
        <v>160</v>
      </c>
      <c r="F29" s="29">
        <f t="shared" si="22"/>
        <v>12797.5</v>
      </c>
      <c r="G29" s="29">
        <f t="shared" si="23"/>
        <v>121280</v>
      </c>
      <c r="H29" s="29">
        <f t="shared" si="24"/>
        <v>907174.40000000002</v>
      </c>
      <c r="I29" s="30">
        <f t="shared" si="25"/>
        <v>0.52730434782608693</v>
      </c>
      <c r="J29" s="29">
        <f t="shared" si="26"/>
        <v>1.7865442062713475</v>
      </c>
      <c r="K29" s="77">
        <f t="shared" si="27"/>
        <v>3.9810160063079867E-3</v>
      </c>
      <c r="L29" s="29">
        <f t="shared" si="61"/>
        <v>8329.0764836985381</v>
      </c>
      <c r="M29" s="29">
        <f t="shared" si="28"/>
        <v>6.6775742174740902</v>
      </c>
      <c r="N29" s="77">
        <f t="shared" si="3"/>
        <v>1.4879861214604766E-2</v>
      </c>
      <c r="O29" s="29">
        <f t="shared" si="62"/>
        <v>2246.5556227270422</v>
      </c>
      <c r="P29" s="29">
        <f t="shared" si="29"/>
        <v>8.3300687232180373</v>
      </c>
      <c r="Q29" s="77">
        <f t="shared" si="30"/>
        <v>1.8562169804904195E-2</v>
      </c>
      <c r="R29" s="29">
        <f t="shared" si="63"/>
        <v>1781.3350521448901</v>
      </c>
      <c r="S29" s="29">
        <f t="shared" si="31"/>
        <v>14.995080109095289</v>
      </c>
      <c r="T29" s="77">
        <f t="shared" si="32"/>
        <v>3.3414036843100667E-2</v>
      </c>
      <c r="U29" s="29">
        <f t="shared" si="64"/>
        <v>998.20054784489105</v>
      </c>
      <c r="V29" s="29">
        <f t="shared" si="33"/>
        <v>26.554724050772613</v>
      </c>
      <c r="W29" s="77">
        <f t="shared" si="34"/>
        <v>5.9172776759804972E-2</v>
      </c>
      <c r="X29" s="58">
        <f t="shared" si="65"/>
        <v>550.08666240501998</v>
      </c>
      <c r="Y29" s="55">
        <f t="shared" si="35"/>
        <v>18.157004059111514</v>
      </c>
      <c r="Z29" s="77">
        <f t="shared" si="36"/>
        <v>4.0459857378386831E-2</v>
      </c>
      <c r="AA29" s="29">
        <f t="shared" si="66"/>
        <v>814.20447944627813</v>
      </c>
      <c r="AB29" s="29">
        <f t="shared" si="37"/>
        <v>32.136055166875259</v>
      </c>
      <c r="AC29" s="77">
        <f t="shared" si="38"/>
        <v>7.1609842930187045E-2</v>
      </c>
      <c r="AD29" s="29">
        <f t="shared" si="67"/>
        <v>463.16697267285923</v>
      </c>
      <c r="AE29" s="55">
        <f t="shared" si="39"/>
        <v>54.869637557606588</v>
      </c>
      <c r="AF29" s="77">
        <f t="shared" si="40"/>
        <v>0.12226784235753337</v>
      </c>
      <c r="AG29" s="29">
        <f t="shared" si="68"/>
        <v>265.17031990783556</v>
      </c>
      <c r="AH29" s="29">
        <f t="shared" si="41"/>
        <v>70.765245031763754</v>
      </c>
      <c r="AI29" s="77">
        <f t="shared" si="42"/>
        <v>0.15768855434578025</v>
      </c>
      <c r="AJ29" s="58">
        <f t="shared" si="69"/>
        <v>207.33687560491765</v>
      </c>
      <c r="AK29" s="29">
        <f t="shared" si="43"/>
        <v>34.85507986882817</v>
      </c>
      <c r="AL29" s="77">
        <f t="shared" si="44"/>
        <v>7.7668736307705447E-2</v>
      </c>
      <c r="AM29" s="29">
        <f t="shared" si="70"/>
        <v>428.77127878213832</v>
      </c>
      <c r="AN29" s="29">
        <f t="shared" si="45"/>
        <v>52.356166760578141</v>
      </c>
      <c r="AO29" s="77">
        <f t="shared" si="46"/>
        <v>0.11666699159815498</v>
      </c>
      <c r="AP29" s="29">
        <f t="shared" si="71"/>
        <v>285.0458377923747</v>
      </c>
      <c r="AQ29" s="29">
        <f t="shared" si="72"/>
        <v>79.452353871134946</v>
      </c>
      <c r="AR29" s="77">
        <f t="shared" si="6"/>
        <v>0.17704632854284572</v>
      </c>
      <c r="AS29" s="29">
        <f t="shared" si="73"/>
        <v>179.47983643273633</v>
      </c>
      <c r="AT29" s="55">
        <f t="shared" si="74"/>
        <v>108.80003479576204</v>
      </c>
      <c r="AU29" s="77">
        <f t="shared" si="47"/>
        <v>0.24244274420322312</v>
      </c>
      <c r="AV29" s="29">
        <f t="shared" si="75"/>
        <v>136.50734894605139</v>
      </c>
      <c r="AW29" s="29">
        <f t="shared" si="48"/>
        <v>170.53778544972494</v>
      </c>
      <c r="AX29" s="77">
        <f t="shared" si="49"/>
        <v>0.38001503191047042</v>
      </c>
      <c r="AY29" s="58">
        <f t="shared" si="76"/>
        <v>85.54000530679501</v>
      </c>
      <c r="AZ29" s="29">
        <f t="shared" si="50"/>
        <v>109.25369423493463</v>
      </c>
      <c r="BA29" s="77">
        <f t="shared" si="9"/>
        <v>0.24345364865351268</v>
      </c>
      <c r="BB29" s="29">
        <f t="shared" si="77"/>
        <v>133.2538394360929</v>
      </c>
      <c r="BC29" s="29">
        <f t="shared" si="51"/>
        <v>144.49520486126153</v>
      </c>
      <c r="BD29" s="77">
        <f t="shared" si="10"/>
        <v>0.32198348149917783</v>
      </c>
      <c r="BE29" s="29">
        <f t="shared" si="78"/>
        <v>100.77405273501675</v>
      </c>
      <c r="BF29" s="29">
        <f t="shared" si="52"/>
        <v>198.80658871270202</v>
      </c>
      <c r="BG29" s="77">
        <f t="shared" si="11"/>
        <v>0.44300734851480439</v>
      </c>
      <c r="BH29" s="29">
        <f t="shared" si="79"/>
        <v>72.397232222851883</v>
      </c>
      <c r="BI29" s="29">
        <f t="shared" si="53"/>
        <v>233.02251143606065</v>
      </c>
      <c r="BJ29" s="77">
        <f t="shared" si="12"/>
        <v>0.51925182965002181</v>
      </c>
      <c r="BK29" s="29">
        <f t="shared" si="80"/>
        <v>63.254319825461415</v>
      </c>
      <c r="BL29" s="29">
        <f t="shared" si="54"/>
        <v>345.8131929730543</v>
      </c>
      <c r="BM29" s="77">
        <f t="shared" si="13"/>
        <v>0.77058706500828944</v>
      </c>
      <c r="BN29" s="32">
        <f t="shared" si="81"/>
        <v>42.117025667423277</v>
      </c>
      <c r="BO29" s="74">
        <f t="shared" si="55"/>
        <v>252.13411651085281</v>
      </c>
      <c r="BP29" s="77">
        <f t="shared" si="14"/>
        <v>0.56183885629168373</v>
      </c>
      <c r="BQ29" s="29">
        <f t="shared" si="82"/>
        <v>58.51512317539332</v>
      </c>
      <c r="BR29" s="29">
        <f t="shared" si="56"/>
        <v>358.94692647381811</v>
      </c>
      <c r="BS29" s="77">
        <f t="shared" si="15"/>
        <v>0.79985340115915815</v>
      </c>
      <c r="BT29" s="29">
        <f t="shared" si="83"/>
        <v>40.344032933648677</v>
      </c>
      <c r="BU29" s="29">
        <f t="shared" si="57"/>
        <v>414.26300083202057</v>
      </c>
      <c r="BV29" s="77">
        <f t="shared" si="16"/>
        <v>0.92311605352068582</v>
      </c>
      <c r="BW29" s="29">
        <f t="shared" si="84"/>
        <v>34.882510353904529</v>
      </c>
      <c r="BX29" s="29">
        <f t="shared" si="58"/>
        <v>598.39817661213351</v>
      </c>
      <c r="BY29" s="77">
        <f t="shared" si="17"/>
        <v>1.3334306035507042</v>
      </c>
      <c r="BZ29" s="29">
        <f t="shared" si="85"/>
        <v>23.546325677083807</v>
      </c>
      <c r="CA29" s="29">
        <f t="shared" si="59"/>
        <v>679.28253491532894</v>
      </c>
      <c r="CB29" s="77">
        <f t="shared" si="18"/>
        <v>1.5136679153029915</v>
      </c>
      <c r="CC29" s="32">
        <f t="shared" si="86"/>
        <v>20.979771918336077</v>
      </c>
      <c r="CD29" s="74">
        <f t="shared" si="60"/>
        <v>814.08616469250137</v>
      </c>
      <c r="CE29" s="77">
        <f t="shared" si="19"/>
        <v>1.8140553369897909</v>
      </c>
      <c r="CF29" s="29">
        <f t="shared" si="87"/>
        <v>17.837095842215543</v>
      </c>
    </row>
    <row r="30" spans="1:84" ht="15" customHeight="1">
      <c r="A30" s="28">
        <f t="shared" si="0"/>
        <v>39.6</v>
      </c>
      <c r="B30" s="28">
        <f t="shared" si="1"/>
        <v>41.400000000000006</v>
      </c>
      <c r="C30" s="28">
        <f t="shared" si="2"/>
        <v>3.6</v>
      </c>
      <c r="D30" s="29">
        <f t="shared" si="20"/>
        <v>255</v>
      </c>
      <c r="E30" s="29">
        <f t="shared" si="21"/>
        <v>155</v>
      </c>
      <c r="F30" s="29">
        <f t="shared" si="22"/>
        <v>12167.5</v>
      </c>
      <c r="G30" s="29">
        <f t="shared" si="23"/>
        <v>133447.5</v>
      </c>
      <c r="H30" s="29">
        <f t="shared" si="24"/>
        <v>998187.3</v>
      </c>
      <c r="I30" s="30">
        <f t="shared" si="25"/>
        <v>0.58020652173913045</v>
      </c>
      <c r="J30" s="29">
        <f t="shared" si="26"/>
        <v>1.7770951134467445</v>
      </c>
      <c r="K30" s="77">
        <f t="shared" si="27"/>
        <v>3.9599602777971631E-3</v>
      </c>
      <c r="L30" s="29">
        <f t="shared" si="61"/>
        <v>9182.6501923812521</v>
      </c>
      <c r="M30" s="29">
        <f t="shared" si="28"/>
        <v>6.6602250435302013</v>
      </c>
      <c r="N30" s="77">
        <f t="shared" si="3"/>
        <v>1.48412014719998E-2</v>
      </c>
      <c r="O30" s="29">
        <f t="shared" si="62"/>
        <v>2474.3079369135094</v>
      </c>
      <c r="P30" s="29">
        <f t="shared" si="29"/>
        <v>8.2782762295130539</v>
      </c>
      <c r="Q30" s="77">
        <f t="shared" si="30"/>
        <v>1.8446758864764923E-2</v>
      </c>
      <c r="R30" s="29">
        <f t="shared" si="63"/>
        <v>1964.5714681101849</v>
      </c>
      <c r="S30" s="29">
        <f t="shared" si="31"/>
        <v>14.945026248217877</v>
      </c>
      <c r="T30" s="77">
        <f t="shared" si="32"/>
        <v>3.3302500156445508E-2</v>
      </c>
      <c r="U30" s="29">
        <f t="shared" si="64"/>
        <v>1099.6979719024466</v>
      </c>
      <c r="V30" s="29">
        <f t="shared" si="33"/>
        <v>26.251356830891261</v>
      </c>
      <c r="W30" s="77">
        <f t="shared" si="34"/>
        <v>5.84967734715027E-2</v>
      </c>
      <c r="X30" s="58">
        <f t="shared" si="65"/>
        <v>607.86964392625237</v>
      </c>
      <c r="Y30" s="55">
        <f t="shared" si="35"/>
        <v>18.021708419196468</v>
      </c>
      <c r="Z30" s="77">
        <f t="shared" si="36"/>
        <v>4.0158373594109467E-2</v>
      </c>
      <c r="AA30" s="29">
        <f t="shared" si="66"/>
        <v>898.37417253990884</v>
      </c>
      <c r="AB30" s="29">
        <f t="shared" si="37"/>
        <v>31.969018539073051</v>
      </c>
      <c r="AC30" s="77">
        <f t="shared" si="38"/>
        <v>7.1237629644567785E-2</v>
      </c>
      <c r="AD30" s="29">
        <f t="shared" si="67"/>
        <v>510.61546299209471</v>
      </c>
      <c r="AE30" s="55">
        <f t="shared" si="39"/>
        <v>54.170928623180551</v>
      </c>
      <c r="AF30" s="77">
        <f t="shared" si="40"/>
        <v>0.12071088594865401</v>
      </c>
      <c r="AG30" s="29">
        <f t="shared" si="68"/>
        <v>293.17208589597794</v>
      </c>
      <c r="AH30" s="29">
        <f t="shared" si="41"/>
        <v>70.060713210937166</v>
      </c>
      <c r="AI30" s="77">
        <f t="shared" si="42"/>
        <v>0.15611862260503834</v>
      </c>
      <c r="AJ30" s="58">
        <f t="shared" si="69"/>
        <v>228.98783513911016</v>
      </c>
      <c r="AK30" s="29">
        <f t="shared" si="43"/>
        <v>34.720778851574622</v>
      </c>
      <c r="AL30" s="77">
        <f t="shared" si="44"/>
        <v>7.7369468874258787E-2</v>
      </c>
      <c r="AM30" s="29">
        <f t="shared" si="70"/>
        <v>472.45928685220713</v>
      </c>
      <c r="AN30" s="29">
        <f t="shared" si="45"/>
        <v>52.130084699264557</v>
      </c>
      <c r="AO30" s="77">
        <f t="shared" si="46"/>
        <v>0.11616320540486119</v>
      </c>
      <c r="AP30" s="29">
        <f t="shared" si="71"/>
        <v>314.14384665649737</v>
      </c>
      <c r="AQ30" s="29">
        <f t="shared" si="72"/>
        <v>78.960989595211927</v>
      </c>
      <c r="AR30" s="77">
        <f t="shared" si="6"/>
        <v>0.17595140514799726</v>
      </c>
      <c r="AS30" s="29">
        <f t="shared" si="73"/>
        <v>198.69035639256532</v>
      </c>
      <c r="AT30" s="55">
        <f t="shared" si="74"/>
        <v>108.15602750591803</v>
      </c>
      <c r="AU30" s="77">
        <f t="shared" si="47"/>
        <v>0.24100768129235403</v>
      </c>
      <c r="AV30" s="29">
        <f t="shared" si="75"/>
        <v>150.53228774646792</v>
      </c>
      <c r="AW30" s="29">
        <f t="shared" si="48"/>
        <v>168.51363077223334</v>
      </c>
      <c r="AX30" s="77">
        <f t="shared" si="49"/>
        <v>0.37550454057079335</v>
      </c>
      <c r="AY30" s="58">
        <f t="shared" si="76"/>
        <v>94.541542213426126</v>
      </c>
      <c r="AZ30" s="29">
        <f t="shared" si="50"/>
        <v>107.88404689283833</v>
      </c>
      <c r="BA30" s="77">
        <f t="shared" si="9"/>
        <v>0.24040161782620811</v>
      </c>
      <c r="BB30" s="29">
        <f t="shared" si="77"/>
        <v>147.31413574823804</v>
      </c>
      <c r="BC30" s="29">
        <f t="shared" si="51"/>
        <v>142.69327413993807</v>
      </c>
      <c r="BD30" s="77">
        <f t="shared" si="10"/>
        <v>0.31796817920849541</v>
      </c>
      <c r="BE30" s="29">
        <f t="shared" si="78"/>
        <v>111.40441829225441</v>
      </c>
      <c r="BF30" s="29">
        <f t="shared" si="52"/>
        <v>195.56110858903162</v>
      </c>
      <c r="BG30" s="77">
        <f t="shared" si="11"/>
        <v>0.43577533697255882</v>
      </c>
      <c r="BH30" s="29">
        <f t="shared" si="79"/>
        <v>80.153793216041834</v>
      </c>
      <c r="BI30" s="29">
        <f t="shared" si="53"/>
        <v>231.05678273857865</v>
      </c>
      <c r="BJ30" s="77">
        <f t="shared" si="12"/>
        <v>0.51487153086913273</v>
      </c>
      <c r="BK30" s="29">
        <f t="shared" si="80"/>
        <v>69.819293373036913</v>
      </c>
      <c r="BL30" s="29">
        <f t="shared" si="54"/>
        <v>341.52635007958287</v>
      </c>
      <c r="BM30" s="77">
        <f t="shared" si="13"/>
        <v>0.76103455009400389</v>
      </c>
      <c r="BN30" s="32">
        <f t="shared" si="81"/>
        <v>46.558503363985203</v>
      </c>
      <c r="BO30" s="74">
        <f t="shared" si="55"/>
        <v>250.08639369897631</v>
      </c>
      <c r="BP30" s="77">
        <f t="shared" si="14"/>
        <v>0.5572758472925522</v>
      </c>
      <c r="BQ30" s="29">
        <f t="shared" si="82"/>
        <v>64.580553782115999</v>
      </c>
      <c r="BR30" s="29">
        <f t="shared" si="56"/>
        <v>353.81512698914526</v>
      </c>
      <c r="BS30" s="77">
        <f t="shared" si="15"/>
        <v>0.78841804130747872</v>
      </c>
      <c r="BT30" s="29">
        <f t="shared" si="83"/>
        <v>44.631248349153523</v>
      </c>
      <c r="BU30" s="29">
        <f t="shared" si="57"/>
        <v>408.04764891346105</v>
      </c>
      <c r="BV30" s="77">
        <f t="shared" si="16"/>
        <v>0.90926617766216244</v>
      </c>
      <c r="BW30" s="29">
        <f t="shared" si="84"/>
        <v>38.599923432268739</v>
      </c>
      <c r="BX30" s="29">
        <f t="shared" si="58"/>
        <v>584.4089631387468</v>
      </c>
      <c r="BY30" s="77">
        <f t="shared" si="17"/>
        <v>1.3022579728608408</v>
      </c>
      <c r="BZ30" s="29">
        <f t="shared" si="85"/>
        <v>26.141908158433495</v>
      </c>
      <c r="CA30" s="29">
        <f t="shared" si="59"/>
        <v>665.96293332878111</v>
      </c>
      <c r="CB30" s="77">
        <f t="shared" si="18"/>
        <v>1.4839874031009674</v>
      </c>
      <c r="CC30" s="32">
        <f t="shared" si="86"/>
        <v>23.257498786834017</v>
      </c>
      <c r="CD30" s="74">
        <f t="shared" si="60"/>
        <v>803.18366205661266</v>
      </c>
      <c r="CE30" s="77">
        <f t="shared" si="19"/>
        <v>1.7897609269494852</v>
      </c>
      <c r="CF30" s="29">
        <f t="shared" si="87"/>
        <v>19.725682149838605</v>
      </c>
    </row>
    <row r="31" spans="1:84" ht="15" customHeight="1">
      <c r="A31" s="28">
        <f t="shared" si="0"/>
        <v>36</v>
      </c>
      <c r="B31" s="28">
        <f t="shared" si="1"/>
        <v>37.799999999999997</v>
      </c>
      <c r="C31" s="28">
        <f t="shared" si="2"/>
        <v>3.6</v>
      </c>
      <c r="D31" s="29">
        <f t="shared" si="20"/>
        <v>250</v>
      </c>
      <c r="E31" s="29">
        <f t="shared" si="21"/>
        <v>150</v>
      </c>
      <c r="F31" s="29">
        <f t="shared" si="22"/>
        <v>11552.5</v>
      </c>
      <c r="G31" s="29">
        <f t="shared" si="23"/>
        <v>145000</v>
      </c>
      <c r="H31" s="29">
        <f t="shared" si="24"/>
        <v>1084600</v>
      </c>
      <c r="I31" s="30">
        <f t="shared" si="25"/>
        <v>0.63043478260869568</v>
      </c>
      <c r="J31" s="29">
        <f t="shared" si="26"/>
        <v>1.7668428748142193</v>
      </c>
      <c r="K31" s="77">
        <f t="shared" si="27"/>
        <v>3.9371148727110191E-3</v>
      </c>
      <c r="L31" s="29">
        <f t="shared" si="61"/>
        <v>9997.78304159859</v>
      </c>
      <c r="M31" s="29">
        <f t="shared" si="28"/>
        <v>6.6413479992619555</v>
      </c>
      <c r="N31" s="77">
        <f t="shared" si="3"/>
        <v>1.4799137125022059E-2</v>
      </c>
      <c r="O31" s="29">
        <f t="shared" si="62"/>
        <v>2691.1632600838529</v>
      </c>
      <c r="P31" s="29">
        <f t="shared" si="29"/>
        <v>8.2221363580412152</v>
      </c>
      <c r="Q31" s="77">
        <f t="shared" si="30"/>
        <v>1.8321660517835178E-2</v>
      </c>
      <c r="R31" s="29">
        <f t="shared" si="63"/>
        <v>2139.7341757023723</v>
      </c>
      <c r="S31" s="29">
        <f t="shared" si="31"/>
        <v>14.890606587080731</v>
      </c>
      <c r="T31" s="77">
        <f t="shared" si="32"/>
        <v>3.31812350115449E-2</v>
      </c>
      <c r="U31" s="29">
        <f t="shared" si="64"/>
        <v>1196.4174479187031</v>
      </c>
      <c r="V31" s="29">
        <f t="shared" si="33"/>
        <v>25.924326252882615</v>
      </c>
      <c r="W31" s="77">
        <f t="shared" si="34"/>
        <v>5.776804033350677E-2</v>
      </c>
      <c r="X31" s="58">
        <f t="shared" si="65"/>
        <v>663.42409315736882</v>
      </c>
      <c r="Y31" s="55">
        <f t="shared" si="35"/>
        <v>17.87524663090273</v>
      </c>
      <c r="Z31" s="77">
        <f t="shared" si="36"/>
        <v>3.9832007909194923E-2</v>
      </c>
      <c r="AA31" s="29">
        <f t="shared" si="66"/>
        <v>978.94434292160463</v>
      </c>
      <c r="AB31" s="29">
        <f t="shared" si="37"/>
        <v>31.78776689786238</v>
      </c>
      <c r="AC31" s="77">
        <f t="shared" si="38"/>
        <v>7.0833740570736672E-2</v>
      </c>
      <c r="AD31" s="29">
        <f t="shared" si="67"/>
        <v>555.92256717762075</v>
      </c>
      <c r="AE31" s="55">
        <f t="shared" si="39"/>
        <v>53.418761860998316</v>
      </c>
      <c r="AF31" s="77">
        <f t="shared" si="40"/>
        <v>0.11903480768025793</v>
      </c>
      <c r="AG31" s="29">
        <f t="shared" si="68"/>
        <v>320.13286927044589</v>
      </c>
      <c r="AH31" s="29">
        <f t="shared" si="41"/>
        <v>69.30004699504434</v>
      </c>
      <c r="AI31" s="77">
        <f t="shared" si="42"/>
        <v>0.15442360472062383</v>
      </c>
      <c r="AJ31" s="58">
        <f t="shared" si="69"/>
        <v>249.77009617812007</v>
      </c>
      <c r="AK31" s="29">
        <f t="shared" si="43"/>
        <v>34.574842719368036</v>
      </c>
      <c r="AL31" s="77">
        <f t="shared" si="44"/>
        <v>7.7044274526325118E-2</v>
      </c>
      <c r="AM31" s="29">
        <f t="shared" si="70"/>
        <v>514.11418831788728</v>
      </c>
      <c r="AN31" s="29">
        <f t="shared" si="45"/>
        <v>51.884536005034782</v>
      </c>
      <c r="AO31" s="77">
        <f t="shared" si="46"/>
        <v>0.11561604106455252</v>
      </c>
      <c r="AP31" s="29">
        <f t="shared" si="71"/>
        <v>341.90186046097489</v>
      </c>
      <c r="AQ31" s="29">
        <f t="shared" si="72"/>
        <v>78.428362429364839</v>
      </c>
      <c r="AR31" s="77">
        <f t="shared" si="6"/>
        <v>0.17476453428010133</v>
      </c>
      <c r="AS31" s="29">
        <f t="shared" si="73"/>
        <v>217.05375991209905</v>
      </c>
      <c r="AT31" s="55">
        <f t="shared" si="74"/>
        <v>107.45774419868405</v>
      </c>
      <c r="AU31" s="77">
        <f t="shared" si="47"/>
        <v>0.23945167332273432</v>
      </c>
      <c r="AV31" s="29">
        <f t="shared" si="75"/>
        <v>163.93487382722338</v>
      </c>
      <c r="AW31" s="29">
        <f t="shared" si="48"/>
        <v>166.3326140411661</v>
      </c>
      <c r="AX31" s="77">
        <f t="shared" si="49"/>
        <v>0.37064450828839851</v>
      </c>
      <c r="AY31" s="58">
        <f t="shared" si="76"/>
        <v>103.20016683114676</v>
      </c>
      <c r="AZ31" s="29">
        <f t="shared" si="50"/>
        <v>106.4093001418978</v>
      </c>
      <c r="BA31" s="77">
        <f t="shared" si="9"/>
        <v>0.23711539048286229</v>
      </c>
      <c r="BB31" s="29">
        <f t="shared" si="77"/>
        <v>160.84877665599828</v>
      </c>
      <c r="BC31" s="29">
        <f t="shared" si="51"/>
        <v>140.75293760499588</v>
      </c>
      <c r="BD31" s="77">
        <f t="shared" si="10"/>
        <v>0.31364446262979917</v>
      </c>
      <c r="BE31" s="29">
        <f t="shared" si="78"/>
        <v>121.63661444512211</v>
      </c>
      <c r="BF31" s="29">
        <f t="shared" si="52"/>
        <v>192.08060035771879</v>
      </c>
      <c r="BG31" s="77">
        <f t="shared" si="11"/>
        <v>0.42801960446378345</v>
      </c>
      <c r="BH31" s="29">
        <f t="shared" si="79"/>
        <v>87.65174805366992</v>
      </c>
      <c r="BI31" s="29">
        <f t="shared" si="53"/>
        <v>228.93102570039866</v>
      </c>
      <c r="BJ31" s="77">
        <f t="shared" si="12"/>
        <v>0.51013463560238848</v>
      </c>
      <c r="BK31" s="29">
        <f t="shared" si="80"/>
        <v>76.110322132727475</v>
      </c>
      <c r="BL31" s="29">
        <f t="shared" si="54"/>
        <v>336.90987381622972</v>
      </c>
      <c r="BM31" s="77">
        <f t="shared" si="13"/>
        <v>0.75074750215383201</v>
      </c>
      <c r="BN31" s="32">
        <f t="shared" si="81"/>
        <v>50.83327171776827</v>
      </c>
      <c r="BO31" s="74">
        <f t="shared" si="55"/>
        <v>247.87123386852315</v>
      </c>
      <c r="BP31" s="77">
        <f t="shared" si="14"/>
        <v>0.55233973280369253</v>
      </c>
      <c r="BQ31" s="29">
        <f t="shared" si="82"/>
        <v>70.390875714957104</v>
      </c>
      <c r="BR31" s="29">
        <f t="shared" si="56"/>
        <v>348.29983738125907</v>
      </c>
      <c r="BS31" s="77">
        <f t="shared" si="15"/>
        <v>0.77612813763123911</v>
      </c>
      <c r="BT31" s="29">
        <f t="shared" si="83"/>
        <v>48.766224918465468</v>
      </c>
      <c r="BU31" s="29">
        <f t="shared" si="57"/>
        <v>401.37283994177596</v>
      </c>
      <c r="BV31" s="77">
        <f t="shared" si="16"/>
        <v>0.89439247833692415</v>
      </c>
      <c r="BW31" s="29">
        <f t="shared" si="84"/>
        <v>42.188137489990197</v>
      </c>
      <c r="BX31" s="29">
        <f t="shared" si="58"/>
        <v>569.51910176608976</v>
      </c>
      <c r="BY31" s="77">
        <f t="shared" si="17"/>
        <v>1.2690783984354368</v>
      </c>
      <c r="BZ31" s="29">
        <f t="shared" si="85"/>
        <v>28.670728811157069</v>
      </c>
      <c r="CA31" s="29">
        <f t="shared" si="59"/>
        <v>651.72859896149362</v>
      </c>
      <c r="CB31" s="77">
        <f t="shared" si="18"/>
        <v>1.4522685613525284</v>
      </c>
      <c r="CC31" s="32">
        <f t="shared" si="86"/>
        <v>25.467332249661322</v>
      </c>
      <c r="CD31" s="74">
        <f t="shared" si="60"/>
        <v>791.45519588471836</v>
      </c>
      <c r="CE31" s="77">
        <f t="shared" si="19"/>
        <v>1.763625994829781</v>
      </c>
      <c r="CF31" s="29">
        <f t="shared" si="87"/>
        <v>21.545382966960339</v>
      </c>
    </row>
    <row r="32" spans="1:84" ht="15" customHeight="1">
      <c r="A32" s="28">
        <f t="shared" si="0"/>
        <v>32.4</v>
      </c>
      <c r="B32" s="28">
        <f t="shared" si="1"/>
        <v>34.200000000000003</v>
      </c>
      <c r="C32" s="28">
        <f t="shared" si="2"/>
        <v>3.6</v>
      </c>
      <c r="D32" s="29">
        <f t="shared" si="20"/>
        <v>245</v>
      </c>
      <c r="E32" s="29">
        <f t="shared" si="21"/>
        <v>145</v>
      </c>
      <c r="F32" s="29">
        <f t="shared" si="22"/>
        <v>10952.5</v>
      </c>
      <c r="G32" s="29">
        <f t="shared" si="23"/>
        <v>155952.5</v>
      </c>
      <c r="H32" s="29">
        <f t="shared" si="24"/>
        <v>1166524.7</v>
      </c>
      <c r="I32" s="30">
        <f t="shared" si="25"/>
        <v>0.67805434782608698</v>
      </c>
      <c r="J32" s="29">
        <f t="shared" si="26"/>
        <v>1.7556320936812257</v>
      </c>
      <c r="K32" s="77">
        <f t="shared" si="27"/>
        <v>3.9121335154196652E-3</v>
      </c>
      <c r="L32" s="29">
        <f t="shared" si="61"/>
        <v>10775.515273528605</v>
      </c>
      <c r="M32" s="29">
        <f t="shared" si="28"/>
        <v>6.6206420451232217</v>
      </c>
      <c r="N32" s="77">
        <f t="shared" si="3"/>
        <v>1.4752997357216246E-2</v>
      </c>
      <c r="O32" s="29">
        <f t="shared" si="62"/>
        <v>2897.3987969639097</v>
      </c>
      <c r="P32" s="29">
        <f t="shared" si="29"/>
        <v>8.1608132758880654</v>
      </c>
      <c r="Q32" s="77">
        <f t="shared" si="30"/>
        <v>1.8185012249770576E-2</v>
      </c>
      <c r="R32" s="29">
        <f t="shared" si="63"/>
        <v>2307.0473613502918</v>
      </c>
      <c r="S32" s="29">
        <f t="shared" si="31"/>
        <v>14.830965181322702</v>
      </c>
      <c r="T32" s="77">
        <f t="shared" si="32"/>
        <v>3.304833407904742E-2</v>
      </c>
      <c r="U32" s="29">
        <f t="shared" si="64"/>
        <v>1288.4823708669539</v>
      </c>
      <c r="V32" s="29">
        <f t="shared" si="33"/>
        <v>25.569245071435461</v>
      </c>
      <c r="W32" s="77">
        <f t="shared" si="34"/>
        <v>5.6976801100848691E-2</v>
      </c>
      <c r="X32" s="58">
        <f t="shared" si="65"/>
        <v>716.82463990217775</v>
      </c>
      <c r="Y32" s="55">
        <f t="shared" si="35"/>
        <v>17.715490029681455</v>
      </c>
      <c r="Z32" s="77">
        <f t="shared" si="36"/>
        <v>3.9476016949473516E-2</v>
      </c>
      <c r="AA32" s="29">
        <f t="shared" si="66"/>
        <v>1056.0187938331505</v>
      </c>
      <c r="AB32" s="29">
        <f t="shared" si="37"/>
        <v>31.589548141582679</v>
      </c>
      <c r="AC32" s="77">
        <f t="shared" si="38"/>
        <v>7.0392043108826741E-2</v>
      </c>
      <c r="AD32" s="29">
        <f t="shared" si="67"/>
        <v>599.14609353345725</v>
      </c>
      <c r="AE32" s="55">
        <f t="shared" si="39"/>
        <v>52.603318251861836</v>
      </c>
      <c r="AF32" s="77">
        <f t="shared" si="40"/>
        <v>0.11721772750456547</v>
      </c>
      <c r="AG32" s="29">
        <f t="shared" si="68"/>
        <v>346.08962850242341</v>
      </c>
      <c r="AH32" s="29">
        <f t="shared" si="41"/>
        <v>68.47273037613941</v>
      </c>
      <c r="AI32" s="77">
        <f t="shared" si="42"/>
        <v>0.15258006752149733</v>
      </c>
      <c r="AJ32" s="58">
        <f t="shared" si="69"/>
        <v>269.71105163828776</v>
      </c>
      <c r="AK32" s="29">
        <f t="shared" si="43"/>
        <v>34.414998230694849</v>
      </c>
      <c r="AL32" s="77">
        <f t="shared" si="44"/>
        <v>7.6688087724065032E-2</v>
      </c>
      <c r="AM32" s="29">
        <f t="shared" si="70"/>
        <v>553.78908986848069</v>
      </c>
      <c r="AN32" s="29">
        <f t="shared" si="45"/>
        <v>51.615729265395771</v>
      </c>
      <c r="AO32" s="77">
        <f t="shared" si="46"/>
        <v>0.11501705004639026</v>
      </c>
      <c r="AP32" s="29">
        <f t="shared" si="71"/>
        <v>368.35526305935809</v>
      </c>
      <c r="AQ32" s="29">
        <f t="shared" si="72"/>
        <v>77.846537310487037</v>
      </c>
      <c r="AR32" s="77">
        <f t="shared" si="6"/>
        <v>0.1734680339735353</v>
      </c>
      <c r="AS32" s="29">
        <f t="shared" si="73"/>
        <v>234.59354670082661</v>
      </c>
      <c r="AT32" s="55">
        <f t="shared" si="74"/>
        <v>106.69472835148578</v>
      </c>
      <c r="AU32" s="77">
        <f t="shared" si="47"/>
        <v>0.23775141967656083</v>
      </c>
      <c r="AV32" s="29">
        <f t="shared" si="75"/>
        <v>176.7322414925552</v>
      </c>
      <c r="AW32" s="29">
        <f t="shared" si="48"/>
        <v>163.96574456560501</v>
      </c>
      <c r="AX32" s="77">
        <f t="shared" si="49"/>
        <v>0.36537033414035652</v>
      </c>
      <c r="AY32" s="58">
        <f t="shared" si="76"/>
        <v>111.52758711203565</v>
      </c>
      <c r="AZ32" s="29">
        <f t="shared" si="50"/>
        <v>104.81012220587435</v>
      </c>
      <c r="BA32" s="77">
        <f t="shared" si="9"/>
        <v>0.23355188898209003</v>
      </c>
      <c r="BB32" s="29">
        <f t="shared" si="77"/>
        <v>173.8762556621256</v>
      </c>
      <c r="BC32" s="29">
        <f t="shared" si="51"/>
        <v>138.64872516220896</v>
      </c>
      <c r="BD32" s="77">
        <f t="shared" si="10"/>
        <v>0.30895557590312234</v>
      </c>
      <c r="BE32" s="29">
        <f t="shared" si="78"/>
        <v>131.48460738605419</v>
      </c>
      <c r="BF32" s="29">
        <f t="shared" si="52"/>
        <v>188.32300546764495</v>
      </c>
      <c r="BG32" s="77">
        <f t="shared" si="11"/>
        <v>0.4196464305170689</v>
      </c>
      <c r="BH32" s="29">
        <f t="shared" si="79"/>
        <v>94.902119102475496</v>
      </c>
      <c r="BI32" s="29">
        <f t="shared" si="53"/>
        <v>226.61494077141086</v>
      </c>
      <c r="BJ32" s="77">
        <f t="shared" si="12"/>
        <v>0.50497362635229393</v>
      </c>
      <c r="BK32" s="29">
        <f t="shared" si="80"/>
        <v>82.13557210970923</v>
      </c>
      <c r="BL32" s="29">
        <f t="shared" si="54"/>
        <v>331.90307132110104</v>
      </c>
      <c r="BM32" s="77">
        <f t="shared" si="13"/>
        <v>0.73959067726052019</v>
      </c>
      <c r="BN32" s="32">
        <f t="shared" si="81"/>
        <v>54.947158525840898</v>
      </c>
      <c r="BO32" s="74">
        <f t="shared" si="55"/>
        <v>245.45686540651164</v>
      </c>
      <c r="BP32" s="77">
        <f t="shared" si="14"/>
        <v>0.54695971508084351</v>
      </c>
      <c r="BQ32" s="29">
        <f t="shared" si="82"/>
        <v>75.953611409496958</v>
      </c>
      <c r="BR32" s="29">
        <f t="shared" si="56"/>
        <v>342.33140803070296</v>
      </c>
      <c r="BS32" s="77">
        <f t="shared" si="15"/>
        <v>0.76282848756174981</v>
      </c>
      <c r="BT32" s="29">
        <f t="shared" si="83"/>
        <v>52.754791654194854</v>
      </c>
      <c r="BU32" s="29">
        <f t="shared" si="57"/>
        <v>394.15555448242685</v>
      </c>
      <c r="BV32" s="77">
        <f t="shared" si="16"/>
        <v>0.87830996057167465</v>
      </c>
      <c r="BW32" s="29">
        <f t="shared" si="84"/>
        <v>45.652281661343089</v>
      </c>
      <c r="BX32" s="29">
        <f t="shared" si="58"/>
        <v>553.57577616828303</v>
      </c>
      <c r="BY32" s="77">
        <f t="shared" si="17"/>
        <v>1.2335513545616574</v>
      </c>
      <c r="BZ32" s="29">
        <f t="shared" si="85"/>
        <v>31.137259547233914</v>
      </c>
      <c r="CA32" s="29">
        <f t="shared" si="59"/>
        <v>636.41979116039408</v>
      </c>
      <c r="CB32" s="77">
        <f t="shared" si="18"/>
        <v>1.418155434635745</v>
      </c>
      <c r="CC32" s="32">
        <f t="shared" si="86"/>
        <v>27.612789832269005</v>
      </c>
      <c r="CD32" s="74">
        <f t="shared" si="60"/>
        <v>778.74977087575326</v>
      </c>
      <c r="CE32" s="77">
        <f t="shared" si="19"/>
        <v>1.7353140727681371</v>
      </c>
      <c r="CF32" s="29">
        <f t="shared" si="87"/>
        <v>23.298721096525597</v>
      </c>
    </row>
    <row r="33" spans="1:84" ht="15" customHeight="1">
      <c r="A33" s="28">
        <f t="shared" si="0"/>
        <v>28.799999999999997</v>
      </c>
      <c r="B33" s="28">
        <f t="shared" si="1"/>
        <v>30.599999999999998</v>
      </c>
      <c r="C33" s="28">
        <f t="shared" si="2"/>
        <v>3.6</v>
      </c>
      <c r="D33" s="29">
        <f t="shared" si="20"/>
        <v>240</v>
      </c>
      <c r="E33" s="29">
        <f t="shared" si="21"/>
        <v>140</v>
      </c>
      <c r="F33" s="29">
        <f t="shared" si="22"/>
        <v>10367.5</v>
      </c>
      <c r="G33" s="29">
        <f t="shared" si="23"/>
        <v>166320</v>
      </c>
      <c r="H33" s="29">
        <f t="shared" si="24"/>
        <v>1244073.6000000001</v>
      </c>
      <c r="I33" s="30">
        <f t="shared" si="25"/>
        <v>0.72313043478260874</v>
      </c>
      <c r="J33" s="29">
        <f t="shared" si="26"/>
        <v>1.7432566625414387</v>
      </c>
      <c r="K33" s="77">
        <f t="shared" si="27"/>
        <v>3.8845569296965064E-3</v>
      </c>
      <c r="L33" s="29">
        <f t="shared" si="61"/>
        <v>11516.933157905079</v>
      </c>
      <c r="M33" s="29">
        <f t="shared" si="28"/>
        <v>6.5977066481750466</v>
      </c>
      <c r="N33" s="77">
        <f t="shared" si="3"/>
        <v>1.4701889647683397E-2</v>
      </c>
      <c r="O33" s="29">
        <f t="shared" si="62"/>
        <v>3093.2974228939024</v>
      </c>
      <c r="P33" s="29">
        <f t="shared" si="29"/>
        <v>8.0931995932623213</v>
      </c>
      <c r="Q33" s="77">
        <f t="shared" si="30"/>
        <v>1.8034346426986207E-2</v>
      </c>
      <c r="R33" s="29">
        <f t="shared" si="63"/>
        <v>2466.7470761259751</v>
      </c>
      <c r="S33" s="29">
        <f t="shared" si="31"/>
        <v>14.764964178638618</v>
      </c>
      <c r="T33" s="77">
        <f t="shared" si="32"/>
        <v>3.2901261844733055E-2</v>
      </c>
      <c r="U33" s="29">
        <f t="shared" si="64"/>
        <v>1376.0194384161312</v>
      </c>
      <c r="V33" s="29">
        <f t="shared" si="33"/>
        <v>25.18033599754893</v>
      </c>
      <c r="W33" s="77">
        <f t="shared" si="34"/>
        <v>5.6110182047871542E-2</v>
      </c>
      <c r="X33" s="58">
        <f t="shared" si="65"/>
        <v>768.15364785475151</v>
      </c>
      <c r="Y33" s="55">
        <f t="shared" si="35"/>
        <v>17.539622427007437</v>
      </c>
      <c r="Z33" s="77">
        <f t="shared" si="36"/>
        <v>3.9084125308181582E-2</v>
      </c>
      <c r="AA33" s="29">
        <f t="shared" si="66"/>
        <v>1129.7080463837933</v>
      </c>
      <c r="AB33" s="29">
        <f t="shared" si="37"/>
        <v>31.370711682673683</v>
      </c>
      <c r="AC33" s="77">
        <f t="shared" si="38"/>
        <v>6.9904402532891194E-2</v>
      </c>
      <c r="AD33" s="29">
        <f t="shared" si="67"/>
        <v>640.34635955676583</v>
      </c>
      <c r="AE33" s="55">
        <f t="shared" si="39"/>
        <v>51.711687628143309</v>
      </c>
      <c r="AF33" s="77">
        <f t="shared" si="40"/>
        <v>0.11523087726471268</v>
      </c>
      <c r="AG33" s="29">
        <f t="shared" si="68"/>
        <v>371.08362359229272</v>
      </c>
      <c r="AH33" s="29">
        <f t="shared" si="41"/>
        <v>67.564891599117246</v>
      </c>
      <c r="AI33" s="77">
        <f t="shared" si="42"/>
        <v>0.15055710011336626</v>
      </c>
      <c r="AJ33" s="58">
        <f t="shared" si="69"/>
        <v>288.84053791550036</v>
      </c>
      <c r="AK33" s="29">
        <f t="shared" si="43"/>
        <v>34.238225258749146</v>
      </c>
      <c r="AL33" s="77">
        <f t="shared" si="44"/>
        <v>7.6294178618246028E-2</v>
      </c>
      <c r="AM33" s="29">
        <f t="shared" si="70"/>
        <v>591.53875875169456</v>
      </c>
      <c r="AN33" s="29">
        <f t="shared" si="45"/>
        <v>51.31863011048808</v>
      </c>
      <c r="AO33" s="77">
        <f t="shared" si="46"/>
        <v>0.11435501409620427</v>
      </c>
      <c r="AP33" s="29">
        <f t="shared" si="71"/>
        <v>393.54069111704359</v>
      </c>
      <c r="AQ33" s="29">
        <f t="shared" si="72"/>
        <v>77.205000715994714</v>
      </c>
      <c r="AR33" s="77">
        <f t="shared" si="6"/>
        <v>0.17203847659547489</v>
      </c>
      <c r="AS33" s="29">
        <f t="shared" si="73"/>
        <v>251.33445279085015</v>
      </c>
      <c r="AT33" s="55">
        <f t="shared" si="74"/>
        <v>105.85312135305372</v>
      </c>
      <c r="AU33" s="77">
        <f t="shared" si="47"/>
        <v>0.23587603874838808</v>
      </c>
      <c r="AV33" s="29">
        <f t="shared" si="75"/>
        <v>188.94238371742009</v>
      </c>
      <c r="AW33" s="29">
        <f t="shared" si="48"/>
        <v>161.37486626735048</v>
      </c>
      <c r="AX33" s="77">
        <f t="shared" si="49"/>
        <v>0.35959699366574605</v>
      </c>
      <c r="AY33" s="58">
        <f t="shared" si="76"/>
        <v>119.53677526234779</v>
      </c>
      <c r="AZ33" s="29">
        <f t="shared" si="50"/>
        <v>103.06108952150045</v>
      </c>
      <c r="BA33" s="77">
        <f t="shared" si="9"/>
        <v>0.22965446115041019</v>
      </c>
      <c r="BB33" s="29">
        <f t="shared" si="77"/>
        <v>186.41718330676332</v>
      </c>
      <c r="BC33" s="29">
        <f t="shared" si="51"/>
        <v>136.34713804311934</v>
      </c>
      <c r="BD33" s="77">
        <f t="shared" si="10"/>
        <v>0.30382687260608432</v>
      </c>
      <c r="BE33" s="29">
        <f t="shared" si="78"/>
        <v>140.96395315903203</v>
      </c>
      <c r="BF33" s="29">
        <f t="shared" si="52"/>
        <v>184.23325820445089</v>
      </c>
      <c r="BG33" s="77">
        <f t="shared" si="11"/>
        <v>0.41053311036558482</v>
      </c>
      <c r="BH33" s="29">
        <f t="shared" si="79"/>
        <v>101.9175824301248</v>
      </c>
      <c r="BI33" s="29">
        <f t="shared" si="53"/>
        <v>224.06848829814382</v>
      </c>
      <c r="BJ33" s="77">
        <f t="shared" si="12"/>
        <v>0.49929928142436386</v>
      </c>
      <c r="BK33" s="29">
        <f t="shared" si="80"/>
        <v>87.903815901968414</v>
      </c>
      <c r="BL33" s="29">
        <f t="shared" si="54"/>
        <v>326.42611119534274</v>
      </c>
      <c r="BM33" s="77">
        <f t="shared" si="13"/>
        <v>0.72738618444695546</v>
      </c>
      <c r="BN33" s="32">
        <f t="shared" si="81"/>
        <v>58.906650803997564</v>
      </c>
      <c r="BO33" s="74">
        <f t="shared" si="55"/>
        <v>242.80128793757439</v>
      </c>
      <c r="BP33" s="77">
        <f t="shared" si="14"/>
        <v>0.5410422032875617</v>
      </c>
      <c r="BQ33" s="29">
        <f t="shared" si="82"/>
        <v>81.276819031850977</v>
      </c>
      <c r="BR33" s="29">
        <f t="shared" si="56"/>
        <v>335.81843100945827</v>
      </c>
      <c r="BS33" s="77">
        <f t="shared" si="15"/>
        <v>0.7483154037660763</v>
      </c>
      <c r="BT33" s="29">
        <f t="shared" si="83"/>
        <v>56.603543084488642</v>
      </c>
      <c r="BU33" s="29">
        <f t="shared" si="57"/>
        <v>386.28692875431841</v>
      </c>
      <c r="BV33" s="77">
        <f t="shared" si="16"/>
        <v>0.86077603957420634</v>
      </c>
      <c r="BW33" s="29">
        <f t="shared" si="84"/>
        <v>48.998192616276533</v>
      </c>
      <c r="BX33" s="29">
        <f t="shared" si="58"/>
        <v>536.38057319701682</v>
      </c>
      <c r="BY33" s="77">
        <f t="shared" si="17"/>
        <v>1.1952347106073526</v>
      </c>
      <c r="BZ33" s="29">
        <f t="shared" si="85"/>
        <v>33.546895039740704</v>
      </c>
      <c r="CA33" s="29">
        <f t="shared" si="59"/>
        <v>619.82817730976581</v>
      </c>
      <c r="CB33" s="77">
        <f t="shared" si="18"/>
        <v>1.3811837884385949</v>
      </c>
      <c r="CC33" s="32">
        <f t="shared" si="86"/>
        <v>29.69801556736936</v>
      </c>
      <c r="CD33" s="74">
        <f t="shared" si="60"/>
        <v>764.86901021164397</v>
      </c>
      <c r="CE33" s="77">
        <f t="shared" si="19"/>
        <v>1.7043831110882801</v>
      </c>
      <c r="CF33" s="29">
        <f t="shared" si="87"/>
        <v>24.988528958278334</v>
      </c>
    </row>
    <row r="34" spans="1:84" ht="15" customHeight="1">
      <c r="A34" s="28">
        <f>+IF(A33-C34&gt;0,A33-C34,0)</f>
        <v>25.199999999999996</v>
      </c>
      <c r="B34" s="28">
        <f t="shared" si="1"/>
        <v>26.999999999999996</v>
      </c>
      <c r="C34" s="28">
        <f t="shared" si="2"/>
        <v>3.6</v>
      </c>
      <c r="D34" s="29">
        <f t="shared" si="20"/>
        <v>235</v>
      </c>
      <c r="E34" s="29">
        <f t="shared" si="21"/>
        <v>135</v>
      </c>
      <c r="F34" s="29">
        <f t="shared" si="22"/>
        <v>9797.5</v>
      </c>
      <c r="G34" s="29">
        <f t="shared" si="23"/>
        <v>176117.5</v>
      </c>
      <c r="H34" s="29">
        <f t="shared" si="24"/>
        <v>1317358.9000000001</v>
      </c>
      <c r="I34" s="30">
        <f t="shared" si="25"/>
        <v>0.76572826086956525</v>
      </c>
      <c r="J34" s="29">
        <f t="shared" si="26"/>
        <v>1.7294347709461577</v>
      </c>
      <c r="K34" s="77">
        <f t="shared" si="27"/>
        <v>3.8537571479250218E-3</v>
      </c>
      <c r="L34" s="29">
        <f t="shared" si="61"/>
        <v>12223.187991672785</v>
      </c>
      <c r="M34" s="29">
        <f t="shared" si="28"/>
        <v>6.5719922507204487</v>
      </c>
      <c r="N34" s="77">
        <f t="shared" si="3"/>
        <v>1.4644589398688734E-2</v>
      </c>
      <c r="O34" s="29">
        <f t="shared" si="62"/>
        <v>3279.1499954578417</v>
      </c>
      <c r="P34" s="29">
        <f t="shared" si="29"/>
        <v>8.0177829985961555</v>
      </c>
      <c r="Q34" s="77">
        <f t="shared" si="30"/>
        <v>1.7866293115205101E-2</v>
      </c>
      <c r="R34" s="29">
        <f t="shared" si="63"/>
        <v>2619.086153758848</v>
      </c>
      <c r="S34" s="29">
        <f t="shared" si="31"/>
        <v>14.691043862580823</v>
      </c>
      <c r="T34" s="77">
        <f t="shared" si="32"/>
        <v>3.2736542740450937E-2</v>
      </c>
      <c r="U34" s="29">
        <f t="shared" si="64"/>
        <v>1459.1600020201729</v>
      </c>
      <c r="V34" s="29">
        <f t="shared" si="33"/>
        <v>24.749762456575457</v>
      </c>
      <c r="W34" s="77">
        <f t="shared" si="34"/>
        <v>5.5150720674068981E-2</v>
      </c>
      <c r="X34" s="58">
        <f t="shared" si="65"/>
        <v>817.50449188041455</v>
      </c>
      <c r="Y34" s="55">
        <f t="shared" si="35"/>
        <v>17.343804033605505</v>
      </c>
      <c r="Z34" s="77">
        <f t="shared" si="36"/>
        <v>3.8647776654884274E-2</v>
      </c>
      <c r="AA34" s="29">
        <f t="shared" si="66"/>
        <v>1200.1321392932859</v>
      </c>
      <c r="AB34" s="29">
        <f t="shared" si="37"/>
        <v>31.126265488989763</v>
      </c>
      <c r="AC34" s="77">
        <f t="shared" si="38"/>
        <v>6.9359694931298857E-2</v>
      </c>
      <c r="AD34" s="29">
        <f t="shared" si="67"/>
        <v>679.58722727662507</v>
      </c>
      <c r="AE34" s="55">
        <f t="shared" si="39"/>
        <v>50.726387930553784</v>
      </c>
      <c r="AF34" s="77">
        <f t="shared" si="40"/>
        <v>0.1130353011052507</v>
      </c>
      <c r="AG34" s="29">
        <f t="shared" si="68"/>
        <v>395.16224847563427</v>
      </c>
      <c r="AH34" s="29">
        <f t="shared" si="41"/>
        <v>66.557678389570654</v>
      </c>
      <c r="AI34" s="77">
        <f t="shared" si="42"/>
        <v>0.14831269334475997</v>
      </c>
      <c r="AJ34" s="58">
        <f t="shared" si="69"/>
        <v>307.19186410686075</v>
      </c>
      <c r="AK34" s="29">
        <f t="shared" si="43"/>
        <v>34.0403867071458</v>
      </c>
      <c r="AL34" s="77">
        <f t="shared" si="44"/>
        <v>7.5853328379089896E-2</v>
      </c>
      <c r="AM34" s="29">
        <f t="shared" si="70"/>
        <v>627.42030372868703</v>
      </c>
      <c r="AN34" s="29">
        <f t="shared" si="45"/>
        <v>50.986346397183596</v>
      </c>
      <c r="AO34" s="77">
        <f t="shared" si="46"/>
        <v>0.11361457522172412</v>
      </c>
      <c r="AP34" s="29">
        <f t="shared" si="71"/>
        <v>417.49654896870828</v>
      </c>
      <c r="AQ34" s="29">
        <f t="shared" si="72"/>
        <v>76.489394192207371</v>
      </c>
      <c r="AR34" s="77">
        <f t="shared" si="6"/>
        <v>0.17044386672496878</v>
      </c>
      <c r="AS34" s="29">
        <f t="shared" si="73"/>
        <v>267.30296292962055</v>
      </c>
      <c r="AT34" s="55">
        <f t="shared" si="74"/>
        <v>104.91398981158471</v>
      </c>
      <c r="AU34" s="77">
        <f t="shared" si="47"/>
        <v>0.23378334063014797</v>
      </c>
      <c r="AV34" s="29">
        <f t="shared" si="75"/>
        <v>200.58450760252083</v>
      </c>
      <c r="AW34" s="29">
        <f t="shared" si="48"/>
        <v>158.50825252854759</v>
      </c>
      <c r="AX34" s="77">
        <f t="shared" si="49"/>
        <v>0.35320922271778021</v>
      </c>
      <c r="AY34" s="58">
        <f t="shared" si="76"/>
        <v>127.24250444163255</v>
      </c>
      <c r="AZ34" s="29">
        <f t="shared" si="50"/>
        <v>101.12776637864822</v>
      </c>
      <c r="BA34" s="77">
        <f t="shared" si="9"/>
        <v>0.2253463727470878</v>
      </c>
      <c r="BB34" s="29">
        <f t="shared" si="77"/>
        <v>198.4951882939728</v>
      </c>
      <c r="BC34" s="29">
        <f t="shared" si="51"/>
        <v>133.80279893525645</v>
      </c>
      <c r="BD34" s="77">
        <f t="shared" si="10"/>
        <v>0.29815723696072982</v>
      </c>
      <c r="BE34" s="29">
        <f t="shared" si="78"/>
        <v>150.09247420931052</v>
      </c>
      <c r="BF34" s="29">
        <f t="shared" si="52"/>
        <v>179.73714138918123</v>
      </c>
      <c r="BG34" s="77">
        <f t="shared" si="11"/>
        <v>0.4005142633955589</v>
      </c>
      <c r="BH34" s="29">
        <f t="shared" si="79"/>
        <v>108.71318214438723</v>
      </c>
      <c r="BI34" s="29">
        <f t="shared" si="53"/>
        <v>221.2371451381282</v>
      </c>
      <c r="BJ34" s="77">
        <f t="shared" si="12"/>
        <v>0.49299010508279573</v>
      </c>
      <c r="BK34" s="29">
        <f t="shared" si="80"/>
        <v>93.424686576303316</v>
      </c>
      <c r="BL34" s="29">
        <f t="shared" si="54"/>
        <v>320.37084365949244</v>
      </c>
      <c r="BM34" s="77">
        <f t="shared" si="13"/>
        <v>0.71389302995456905</v>
      </c>
      <c r="BN34" s="32">
        <f t="shared" si="81"/>
        <v>62.719175229487611</v>
      </c>
      <c r="BO34" s="74">
        <f t="shared" si="55"/>
        <v>239.84728500038094</v>
      </c>
      <c r="BP34" s="77">
        <f t="shared" si="14"/>
        <v>0.53445970007584898</v>
      </c>
      <c r="BQ34" s="29">
        <f t="shared" si="82"/>
        <v>86.369316396016373</v>
      </c>
      <c r="BR34" s="29">
        <f t="shared" si="56"/>
        <v>328.63738024827865</v>
      </c>
      <c r="BS34" s="77">
        <f t="shared" si="15"/>
        <v>0.73231362898658103</v>
      </c>
      <c r="BT34" s="29">
        <f t="shared" si="83"/>
        <v>60.320167364246196</v>
      </c>
      <c r="BU34" s="29">
        <f t="shared" si="57"/>
        <v>377.6199831125445</v>
      </c>
      <c r="BV34" s="77">
        <f t="shared" si="16"/>
        <v>0.84146319570245331</v>
      </c>
      <c r="BW34" s="29">
        <f t="shared" si="84"/>
        <v>52.232718651151757</v>
      </c>
      <c r="BX34" s="29">
        <f t="shared" si="58"/>
        <v>517.66853834940036</v>
      </c>
      <c r="BY34" s="77">
        <f t="shared" si="17"/>
        <v>1.153538059621914</v>
      </c>
      <c r="BZ34" s="29">
        <f t="shared" si="85"/>
        <v>35.906361718092846</v>
      </c>
      <c r="CA34" s="29">
        <f t="shared" si="59"/>
        <v>601.67417413496264</v>
      </c>
      <c r="CB34" s="77">
        <f t="shared" si="18"/>
        <v>1.3407306180307417</v>
      </c>
      <c r="CC34" s="32">
        <f t="shared" si="86"/>
        <v>31.728053948894921</v>
      </c>
      <c r="CD34" s="74">
        <f t="shared" si="60"/>
        <v>749.54451631958102</v>
      </c>
      <c r="CE34" s="77">
        <f t="shared" si="19"/>
        <v>1.6702350305321332</v>
      </c>
      <c r="CF34" s="29">
        <f t="shared" si="87"/>
        <v>26.61808082621021</v>
      </c>
    </row>
    <row r="35" spans="1:84" ht="15" customHeight="1">
      <c r="A35" s="28">
        <f>+IF(A34-C35&gt;0,A34-C35,0)</f>
        <v>21.599999999999994</v>
      </c>
      <c r="B35" s="28">
        <f>+(A34+A35)/2</f>
        <v>23.399999999999995</v>
      </c>
      <c r="C35" s="28">
        <f t="shared" si="2"/>
        <v>3.6</v>
      </c>
      <c r="D35" s="29">
        <f>+D34-(2*(($D$16-$D$18)/(2*$D$15))*(C35/12))</f>
        <v>230</v>
      </c>
      <c r="E35" s="29">
        <f>+E34-(2*(($D$17-$D$19)/(2*$D$15))*(C35/12))</f>
        <v>130</v>
      </c>
      <c r="F35" s="29">
        <f>+IF(B35&gt;0,+(((D34*E34)+4*(((D34+D35)/2)*((E34+E35)/2))+(D35*E35))/6)*(C35/12),0)</f>
        <v>9242.5</v>
      </c>
      <c r="G35" s="29">
        <f>+G34+F35</f>
        <v>185360</v>
      </c>
      <c r="H35" s="29">
        <f t="shared" si="24"/>
        <v>1386492.8</v>
      </c>
      <c r="I35" s="30">
        <f t="shared" si="25"/>
        <v>0.80591304347826087</v>
      </c>
      <c r="J35" s="29">
        <f t="shared" si="26"/>
        <v>1.7137662251386949</v>
      </c>
      <c r="K35" s="77">
        <f t="shared" si="27"/>
        <v>3.8188424050173923E-3</v>
      </c>
      <c r="L35" s="29">
        <f t="shared" si="61"/>
        <v>12895.526873000321</v>
      </c>
      <c r="M35" s="29">
        <f t="shared" si="28"/>
        <v>6.542715378032006</v>
      </c>
      <c r="N35" s="77">
        <f t="shared" si="3"/>
        <v>1.4579350767381321E-2</v>
      </c>
      <c r="O35" s="29">
        <f t="shared" si="62"/>
        <v>3455.259087798222</v>
      </c>
      <c r="P35" s="29">
        <f t="shared" si="29"/>
        <v>7.9324187874306462</v>
      </c>
      <c r="Q35" s="77">
        <f t="shared" si="30"/>
        <v>1.7676073197991294E-2</v>
      </c>
      <c r="R35" s="29">
        <f t="shared" si="63"/>
        <v>2764.3421844278841</v>
      </c>
      <c r="S35" s="29">
        <f t="shared" si="31"/>
        <v>14.606983017359081</v>
      </c>
      <c r="T35" s="77">
        <f t="shared" si="32"/>
        <v>3.2549227157015158E-2</v>
      </c>
      <c r="U35" s="29">
        <f t="shared" si="64"/>
        <v>1538.0422506883162</v>
      </c>
      <c r="V35" s="29">
        <f t="shared" si="33"/>
        <v>24.266495064722356</v>
      </c>
      <c r="W35" s="77">
        <f t="shared" si="34"/>
        <v>5.4073839835889655E-2</v>
      </c>
      <c r="X35" s="58">
        <f t="shared" si="65"/>
        <v>864.9869018285134</v>
      </c>
      <c r="Y35" s="55">
        <f t="shared" si="35"/>
        <v>17.122599184568617</v>
      </c>
      <c r="Z35" s="77">
        <f t="shared" si="36"/>
        <v>3.8154858516280407E-2</v>
      </c>
      <c r="AA35" s="29">
        <f t="shared" si="66"/>
        <v>1267.4251743194804</v>
      </c>
      <c r="AB35" s="29">
        <f t="shared" si="37"/>
        <v>30.849119527657027</v>
      </c>
      <c r="AC35" s="77">
        <f t="shared" si="38"/>
        <v>6.8742121347462409E-2</v>
      </c>
      <c r="AD35" s="29">
        <f t="shared" si="67"/>
        <v>716.93778004146691</v>
      </c>
      <c r="AE35" s="55">
        <f t="shared" si="39"/>
        <v>49.622861631709071</v>
      </c>
      <c r="AF35" s="77">
        <f t="shared" si="40"/>
        <v>0.11057627666932505</v>
      </c>
      <c r="AG35" s="29">
        <f t="shared" si="68"/>
        <v>418.38202316775698</v>
      </c>
      <c r="AH35" s="29">
        <f t="shared" si="41"/>
        <v>65.42450056624368</v>
      </c>
      <c r="AI35" s="77">
        <f t="shared" si="42"/>
        <v>0.14578759542844635</v>
      </c>
      <c r="AJ35" s="58">
        <f t="shared" si="69"/>
        <v>324.80348753071871</v>
      </c>
      <c r="AK35" s="29">
        <f t="shared" si="43"/>
        <v>33.815595282051909</v>
      </c>
      <c r="AL35" s="77">
        <f t="shared" si="44"/>
        <v>7.5352418153505685E-2</v>
      </c>
      <c r="AM35" s="29">
        <f t="shared" si="70"/>
        <v>661.49427631606977</v>
      </c>
      <c r="AN35" s="29">
        <f t="shared" si="45"/>
        <v>50.609076890537608</v>
      </c>
      <c r="AO35" s="77">
        <f t="shared" si="46"/>
        <v>0.11277389300441465</v>
      </c>
      <c r="AP35" s="29">
        <f t="shared" si="71"/>
        <v>440.26384166521069</v>
      </c>
      <c r="AQ35" s="29">
        <f t="shared" si="72"/>
        <v>75.679354126970082</v>
      </c>
      <c r="AR35" s="77">
        <f t="shared" si="6"/>
        <v>0.16863882744626502</v>
      </c>
      <c r="AS35" s="29">
        <f t="shared" si="73"/>
        <v>282.52814131491073</v>
      </c>
      <c r="AT35" s="55">
        <f t="shared" si="74"/>
        <v>103.85047142132252</v>
      </c>
      <c r="AU35" s="77">
        <f t="shared" si="47"/>
        <v>0.23141346715051372</v>
      </c>
      <c r="AV35" s="29">
        <f t="shared" si="75"/>
        <v>211.67961050284421</v>
      </c>
      <c r="AW35" s="29">
        <f t="shared" si="48"/>
        <v>155.29314946806241</v>
      </c>
      <c r="AX35" s="77">
        <f t="shared" si="49"/>
        <v>0.34604490139799909</v>
      </c>
      <c r="AY35" s="58">
        <f t="shared" si="76"/>
        <v>134.662224310883</v>
      </c>
      <c r="AZ35" s="29">
        <f t="shared" si="50"/>
        <v>98.961765987491546</v>
      </c>
      <c r="BA35" s="77">
        <f t="shared" si="9"/>
        <v>0.22051980187546033</v>
      </c>
      <c r="BB35" s="29">
        <f t="shared" si="77"/>
        <v>210.13838862663766</v>
      </c>
      <c r="BC35" s="29">
        <f t="shared" si="51"/>
        <v>130.95194047761348</v>
      </c>
      <c r="BD35" s="77">
        <f t="shared" si="10"/>
        <v>0.29180457403094873</v>
      </c>
      <c r="BE35" s="29">
        <f t="shared" si="78"/>
        <v>158.8913638054799</v>
      </c>
      <c r="BF35" s="29">
        <f t="shared" si="52"/>
        <v>174.7309481005297</v>
      </c>
      <c r="BG35" s="77">
        <f t="shared" si="11"/>
        <v>0.38935879601734702</v>
      </c>
      <c r="BH35" s="29">
        <f t="shared" si="79"/>
        <v>115.30750146327367</v>
      </c>
      <c r="BI35" s="29">
        <f t="shared" si="53"/>
        <v>218.04383823976821</v>
      </c>
      <c r="BJ35" s="77">
        <f t="shared" si="12"/>
        <v>0.48587435287761688</v>
      </c>
      <c r="BK35" s="29">
        <f t="shared" si="80"/>
        <v>98.709090281395106</v>
      </c>
      <c r="BL35" s="29">
        <f t="shared" si="54"/>
        <v>313.58527260924126</v>
      </c>
      <c r="BM35" s="77">
        <f t="shared" si="13"/>
        <v>0.6987725157975927</v>
      </c>
      <c r="BN35" s="32">
        <f t="shared" si="81"/>
        <v>66.393555907761566</v>
      </c>
      <c r="BO35" s="74">
        <f t="shared" si="55"/>
        <v>236.51393921721754</v>
      </c>
      <c r="BP35" s="77">
        <f t="shared" si="14"/>
        <v>0.52703189455569988</v>
      </c>
      <c r="BQ35" s="29">
        <f t="shared" si="82"/>
        <v>91.241044762133683</v>
      </c>
      <c r="BR35" s="29">
        <f t="shared" si="56"/>
        <v>320.61513246630062</v>
      </c>
      <c r="BS35" s="77">
        <f t="shared" si="15"/>
        <v>0.71443738684573999</v>
      </c>
      <c r="BT35" s="29">
        <f t="shared" si="83"/>
        <v>63.913982970525396</v>
      </c>
      <c r="BU35" s="29">
        <f t="shared" si="57"/>
        <v>367.94893733432264</v>
      </c>
      <c r="BV35" s="77">
        <f t="shared" si="16"/>
        <v>0.81991288202664903</v>
      </c>
      <c r="BW35" s="29">
        <f t="shared" si="84"/>
        <v>55.364217480892187</v>
      </c>
      <c r="BX35" s="29">
        <f t="shared" si="58"/>
        <v>497.07327048165439</v>
      </c>
      <c r="BY35" s="77">
        <f t="shared" si="17"/>
        <v>1.1076449377232866</v>
      </c>
      <c r="BZ35" s="29">
        <f t="shared" si="85"/>
        <v>38.224393555834141</v>
      </c>
      <c r="CA35" s="29">
        <f t="shared" si="59"/>
        <v>581.56899178953813</v>
      </c>
      <c r="CB35" s="77">
        <f t="shared" si="18"/>
        <v>1.2959295700376876</v>
      </c>
      <c r="CC35" s="32">
        <f t="shared" si="86"/>
        <v>33.709300684765672</v>
      </c>
      <c r="CD35" s="74">
        <f t="shared" si="60"/>
        <v>732.39962739235602</v>
      </c>
      <c r="CE35" s="77">
        <f t="shared" si="19"/>
        <v>1.6320305030393001</v>
      </c>
      <c r="CF35" s="29">
        <f t="shared" si="87"/>
        <v>28.191308915865424</v>
      </c>
    </row>
    <row r="36" spans="1:84" ht="15" customHeight="1">
      <c r="A36" s="28">
        <f t="shared" ref="A36:A41" si="88">+IF(A35-C36&gt;0,A35-C36,0)</f>
        <v>17.999999999999993</v>
      </c>
      <c r="B36" s="28">
        <f t="shared" si="1"/>
        <v>19.799999999999994</v>
      </c>
      <c r="C36" s="28">
        <f t="shared" si="2"/>
        <v>3.6</v>
      </c>
      <c r="D36" s="29">
        <f t="shared" si="20"/>
        <v>225</v>
      </c>
      <c r="E36" s="29">
        <f t="shared" si="21"/>
        <v>125</v>
      </c>
      <c r="F36" s="29">
        <f t="shared" si="22"/>
        <v>8702.5</v>
      </c>
      <c r="G36" s="29">
        <f t="shared" si="23"/>
        <v>194062.5</v>
      </c>
      <c r="H36" s="29">
        <f t="shared" si="24"/>
        <v>1451587.5</v>
      </c>
      <c r="I36" s="30">
        <f t="shared" si="25"/>
        <v>0.84375</v>
      </c>
      <c r="J36" s="29">
        <f t="shared" si="26"/>
        <v>1.6956544621757736</v>
      </c>
      <c r="K36" s="77">
        <f t="shared" si="27"/>
        <v>3.7784833598816831E-3</v>
      </c>
      <c r="L36" s="29">
        <f t="shared" si="61"/>
        <v>13535.345710427</v>
      </c>
      <c r="M36" s="29">
        <f t="shared" si="28"/>
        <v>6.5087028884100855</v>
      </c>
      <c r="N36" s="77">
        <f t="shared" si="3"/>
        <v>1.4503559603007142E-2</v>
      </c>
      <c r="O36" s="29">
        <f t="shared" si="62"/>
        <v>3621.9453976924019</v>
      </c>
      <c r="P36" s="29">
        <f t="shared" si="29"/>
        <v>7.8339148111378831</v>
      </c>
      <c r="Q36" s="77">
        <f t="shared" si="30"/>
        <v>1.7456573504152251E-2</v>
      </c>
      <c r="R36" s="29">
        <f t="shared" si="63"/>
        <v>2902.8312659180469</v>
      </c>
      <c r="S36" s="29">
        <f t="shared" si="31"/>
        <v>14.509459767058987</v>
      </c>
      <c r="T36" s="77">
        <f t="shared" si="32"/>
        <v>3.2331912847596442E-2</v>
      </c>
      <c r="U36" s="29">
        <f t="shared" si="64"/>
        <v>1612.8149633932892</v>
      </c>
      <c r="V36" s="29">
        <f t="shared" si="33"/>
        <v>23.714259695768728</v>
      </c>
      <c r="W36" s="77">
        <f t="shared" si="34"/>
        <v>5.2843275355404652E-2</v>
      </c>
      <c r="X36" s="58">
        <f t="shared" si="65"/>
        <v>910.73623917174257</v>
      </c>
      <c r="Y36" s="55">
        <f t="shared" si="35"/>
        <v>16.867934104271519</v>
      </c>
      <c r="Z36" s="77">
        <f t="shared" si="36"/>
        <v>3.7587379829018372E-2</v>
      </c>
      <c r="AA36" s="29">
        <f t="shared" si="66"/>
        <v>1331.7431672615996</v>
      </c>
      <c r="AB36" s="29">
        <f t="shared" si="37"/>
        <v>30.52870318865471</v>
      </c>
      <c r="AC36" s="77">
        <f t="shared" si="38"/>
        <v>6.8028126938718916E-2</v>
      </c>
      <c r="AD36" s="29">
        <f t="shared" si="67"/>
        <v>752.47521050362457</v>
      </c>
      <c r="AE36" s="55">
        <f t="shared" si="39"/>
        <v>48.364952751615476</v>
      </c>
      <c r="AF36" s="77">
        <f t="shared" si="40"/>
        <v>0.10777323638151649</v>
      </c>
      <c r="AG36" s="29">
        <f t="shared" si="68"/>
        <v>440.81379669265573</v>
      </c>
      <c r="AH36" s="29">
        <f t="shared" si="41"/>
        <v>64.126027358244031</v>
      </c>
      <c r="AI36" s="77">
        <f t="shared" si="42"/>
        <v>0.14289416429662047</v>
      </c>
      <c r="AJ36" s="58">
        <f t="shared" si="69"/>
        <v>341.72191693233657</v>
      </c>
      <c r="AK36" s="29">
        <f t="shared" si="43"/>
        <v>33.555053930458428</v>
      </c>
      <c r="AL36" s="77">
        <f t="shared" si="44"/>
        <v>7.4771845175038196E-2</v>
      </c>
      <c r="AM36" s="29">
        <f t="shared" si="70"/>
        <v>693.82656429018846</v>
      </c>
      <c r="AN36" s="29">
        <f t="shared" si="45"/>
        <v>50.17218745487633</v>
      </c>
      <c r="AO36" s="77">
        <f t="shared" si="46"/>
        <v>0.11180035771194943</v>
      </c>
      <c r="AP36" s="29">
        <f t="shared" si="71"/>
        <v>461.88760817215064</v>
      </c>
      <c r="AQ36" s="29">
        <f t="shared" si="72"/>
        <v>74.744569929248769</v>
      </c>
      <c r="AR36" s="77">
        <f t="shared" si="6"/>
        <v>0.16655581665900937</v>
      </c>
      <c r="AS36" s="29">
        <f t="shared" si="73"/>
        <v>297.04306417410459</v>
      </c>
      <c r="AT36" s="55">
        <f t="shared" si="74"/>
        <v>102.62256485625731</v>
      </c>
      <c r="AU36" s="77">
        <f t="shared" si="47"/>
        <v>0.22867728202136009</v>
      </c>
      <c r="AV36" s="29">
        <f t="shared" si="75"/>
        <v>222.25147321341174</v>
      </c>
      <c r="AW36" s="29">
        <f t="shared" si="48"/>
        <v>151.62228675415179</v>
      </c>
      <c r="AX36" s="77">
        <f t="shared" si="49"/>
        <v>0.3378649956505016</v>
      </c>
      <c r="AY36" s="58">
        <f t="shared" si="76"/>
        <v>141.81758181070623</v>
      </c>
      <c r="AZ36" s="29">
        <f t="shared" si="50"/>
        <v>96.491825062983523</v>
      </c>
      <c r="BA36" s="77">
        <f t="shared" si="9"/>
        <v>0.21501595018201497</v>
      </c>
      <c r="BB36" s="29">
        <f t="shared" si="77"/>
        <v>221.38194906254512</v>
      </c>
      <c r="BC36" s="29">
        <f t="shared" si="51"/>
        <v>127.70063678092463</v>
      </c>
      <c r="BD36" s="77">
        <f t="shared" si="10"/>
        <v>0.28455958562682704</v>
      </c>
      <c r="BE36" s="29">
        <f t="shared" si="78"/>
        <v>167.38710583163655</v>
      </c>
      <c r="BF36" s="29">
        <f t="shared" si="52"/>
        <v>169.06290677702145</v>
      </c>
      <c r="BG36" s="77">
        <f t="shared" si="11"/>
        <v>0.3767285106014629</v>
      </c>
      <c r="BH36" s="29">
        <f t="shared" si="79"/>
        <v>121.72470845059682</v>
      </c>
      <c r="BI36" s="29">
        <f t="shared" si="53"/>
        <v>214.37427594829356</v>
      </c>
      <c r="BJ36" s="77">
        <f t="shared" si="12"/>
        <v>0.47769734490478089</v>
      </c>
      <c r="BK36" s="29">
        <f t="shared" si="80"/>
        <v>103.76991981361166</v>
      </c>
      <c r="BL36" s="29">
        <f t="shared" si="54"/>
        <v>305.84548821859181</v>
      </c>
      <c r="BM36" s="77">
        <f t="shared" si="13"/>
        <v>0.68152569624709558</v>
      </c>
      <c r="BN36" s="32">
        <f t="shared" si="81"/>
        <v>69.940810022856652</v>
      </c>
      <c r="BO36" s="74">
        <f t="shared" si="55"/>
        <v>232.68119534542359</v>
      </c>
      <c r="BP36" s="77">
        <f t="shared" si="14"/>
        <v>0.51849126362805231</v>
      </c>
      <c r="BQ36" s="29">
        <f t="shared" si="82"/>
        <v>95.903697732675951</v>
      </c>
      <c r="BR36" s="29">
        <f t="shared" si="56"/>
        <v>311.49746467102472</v>
      </c>
      <c r="BS36" s="77">
        <f t="shared" si="15"/>
        <v>0.69412018377526685</v>
      </c>
      <c r="BT36" s="29">
        <f t="shared" si="83"/>
        <v>67.39687381142663</v>
      </c>
      <c r="BU36" s="29">
        <f t="shared" si="57"/>
        <v>356.97197087713465</v>
      </c>
      <c r="BV36" s="77">
        <f t="shared" si="16"/>
        <v>0.79545254177121516</v>
      </c>
      <c r="BW36" s="29">
        <f t="shared" si="84"/>
        <v>58.403424351955124</v>
      </c>
      <c r="BX36" s="29">
        <f t="shared" si="58"/>
        <v>474.06488330077343</v>
      </c>
      <c r="BY36" s="77">
        <f t="shared" si="17"/>
        <v>1.0563745816218904</v>
      </c>
      <c r="BZ36" s="29">
        <f t="shared" si="85"/>
        <v>40.512923469952113</v>
      </c>
      <c r="CA36" s="29">
        <f t="shared" si="59"/>
        <v>558.94678080335507</v>
      </c>
      <c r="CB36" s="77">
        <f t="shared" si="18"/>
        <v>1.2455197432234764</v>
      </c>
      <c r="CC36" s="32">
        <f t="shared" si="86"/>
        <v>35.650293466059374</v>
      </c>
      <c r="CD36" s="74">
        <f t="shared" si="60"/>
        <v>712.88039583164641</v>
      </c>
      <c r="CE36" s="77">
        <f t="shared" si="19"/>
        <v>1.5885351487115189</v>
      </c>
      <c r="CF36" s="29">
        <f t="shared" si="87"/>
        <v>29.713179447037778</v>
      </c>
    </row>
    <row r="37" spans="1:84" ht="15" customHeight="1">
      <c r="A37" s="28">
        <f t="shared" si="88"/>
        <v>14.399999999999993</v>
      </c>
      <c r="B37" s="28">
        <f t="shared" si="1"/>
        <v>16.199999999999992</v>
      </c>
      <c r="C37" s="28">
        <f t="shared" si="2"/>
        <v>3.6</v>
      </c>
      <c r="D37" s="29">
        <f t="shared" si="20"/>
        <v>220</v>
      </c>
      <c r="E37" s="29">
        <f t="shared" si="21"/>
        <v>120</v>
      </c>
      <c r="F37" s="29">
        <f t="shared" si="22"/>
        <v>8177.4999999999991</v>
      </c>
      <c r="G37" s="29">
        <f t="shared" si="23"/>
        <v>202240</v>
      </c>
      <c r="H37" s="29">
        <f t="shared" si="24"/>
        <v>1512755.2000000002</v>
      </c>
      <c r="I37" s="31">
        <f t="shared" si="25"/>
        <v>0.87930434782608702</v>
      </c>
      <c r="J37" s="29">
        <f t="shared" si="26"/>
        <v>1.6741509202282299</v>
      </c>
      <c r="K37" s="77">
        <f t="shared" si="27"/>
        <v>3.730566300575239E-3</v>
      </c>
      <c r="L37" s="29">
        <f t="shared" si="61"/>
        <v>14144.288222328909</v>
      </c>
      <c r="M37" s="29">
        <f t="shared" si="28"/>
        <v>6.468079685360264</v>
      </c>
      <c r="N37" s="77">
        <f t="shared" si="3"/>
        <v>1.4413037565544457E-2</v>
      </c>
      <c r="O37" s="29">
        <f t="shared" si="62"/>
        <v>3779.5596690462476</v>
      </c>
      <c r="P37" s="29">
        <f t="shared" si="29"/>
        <v>7.7172045451917137</v>
      </c>
      <c r="Q37" s="77">
        <f t="shared" si="30"/>
        <v>1.7196504128202204E-2</v>
      </c>
      <c r="R37" s="29">
        <f t="shared" si="63"/>
        <v>3034.9337209840924</v>
      </c>
      <c r="S37" s="29">
        <f t="shared" si="31"/>
        <v>14.393172173942816</v>
      </c>
      <c r="T37" s="77">
        <f t="shared" si="32"/>
        <v>3.2072785327602576E-2</v>
      </c>
      <c r="U37" s="29">
        <f t="shared" si="64"/>
        <v>1683.6444966154575</v>
      </c>
      <c r="V37" s="29">
        <f t="shared" si="33"/>
        <v>23.067486616909125</v>
      </c>
      <c r="W37" s="77">
        <f t="shared" si="34"/>
        <v>5.1402049344679172E-2</v>
      </c>
      <c r="X37" s="58">
        <f t="shared" si="65"/>
        <v>954.93098321114633</v>
      </c>
      <c r="Y37" s="55">
        <f t="shared" si="35"/>
        <v>16.567024899967457</v>
      </c>
      <c r="Z37" s="77">
        <f t="shared" si="36"/>
        <v>3.6916853818760823E-2</v>
      </c>
      <c r="AA37" s="29">
        <f t="shared" si="66"/>
        <v>1393.2787581611262</v>
      </c>
      <c r="AB37" s="29">
        <f t="shared" si="37"/>
        <v>30.148205753944765</v>
      </c>
      <c r="AC37" s="77">
        <f t="shared" si="38"/>
        <v>6.7180251821706921E-2</v>
      </c>
      <c r="AD37" s="29">
        <f t="shared" si="67"/>
        <v>786.29021345892568</v>
      </c>
      <c r="AE37" s="55">
        <f t="shared" si="39"/>
        <v>46.895998352085236</v>
      </c>
      <c r="AF37" s="77">
        <f t="shared" si="40"/>
        <v>0.10449991632789661</v>
      </c>
      <c r="AG37" s="29">
        <f t="shared" si="68"/>
        <v>462.55257404019756</v>
      </c>
      <c r="AH37" s="29">
        <f t="shared" si="41"/>
        <v>62.600285643342296</v>
      </c>
      <c r="AI37" s="77">
        <f t="shared" si="42"/>
        <v>0.13949430317524775</v>
      </c>
      <c r="AJ37" s="58">
        <f t="shared" si="69"/>
        <v>358.00717276127853</v>
      </c>
      <c r="AK37" s="29">
        <f t="shared" si="43"/>
        <v>33.244735961954497</v>
      </c>
      <c r="AL37" s="77">
        <f t="shared" si="44"/>
        <v>7.4080353301888613E-2</v>
      </c>
      <c r="AM37" s="29">
        <f t="shared" si="70"/>
        <v>724.49192038846968</v>
      </c>
      <c r="AN37" s="29">
        <f t="shared" si="45"/>
        <v>49.652365323486308</v>
      </c>
      <c r="AO37" s="77">
        <f t="shared" si="46"/>
        <v>0.11064202072916868</v>
      </c>
      <c r="AP37" s="29">
        <f t="shared" si="71"/>
        <v>482.41959411128676</v>
      </c>
      <c r="AQ37" s="29">
        <f t="shared" si="72"/>
        <v>73.636930044641787</v>
      </c>
      <c r="AR37" s="77">
        <f t="shared" si="6"/>
        <v>0.16408762578281014</v>
      </c>
      <c r="AS37" s="29">
        <f t="shared" si="73"/>
        <v>310.88749883547121</v>
      </c>
      <c r="AT37" s="55">
        <f t="shared" si="74"/>
        <v>101.16674391554557</v>
      </c>
      <c r="AU37" s="77">
        <f t="shared" si="47"/>
        <v>0.2254332276918074</v>
      </c>
      <c r="AV37" s="29">
        <f t="shared" si="75"/>
        <v>232.32851658961965</v>
      </c>
      <c r="AW37" s="29">
        <f t="shared" si="48"/>
        <v>147.32726857802842</v>
      </c>
      <c r="AX37" s="77">
        <f t="shared" si="49"/>
        <v>0.32829426348137336</v>
      </c>
      <c r="AY37" s="58">
        <f t="shared" si="76"/>
        <v>148.73728972700914</v>
      </c>
      <c r="AZ37" s="29">
        <f t="shared" si="50"/>
        <v>93.606218117834175</v>
      </c>
      <c r="BA37" s="77">
        <f t="shared" si="9"/>
        <v>0.20858585603924051</v>
      </c>
      <c r="BB37" s="29">
        <f t="shared" si="77"/>
        <v>232.27291001754645</v>
      </c>
      <c r="BC37" s="29">
        <f t="shared" si="51"/>
        <v>123.90161334487594</v>
      </c>
      <c r="BD37" s="77">
        <f t="shared" si="10"/>
        <v>0.27609409507016525</v>
      </c>
      <c r="BE37" s="29">
        <f t="shared" si="78"/>
        <v>175.61509931085811</v>
      </c>
      <c r="BF37" s="29">
        <f t="shared" si="52"/>
        <v>162.49682771550161</v>
      </c>
      <c r="BG37" s="77">
        <f t="shared" si="11"/>
        <v>0.3620970977593761</v>
      </c>
      <c r="BH37" s="29">
        <f t="shared" si="79"/>
        <v>127.9984411812538</v>
      </c>
      <c r="BI37" s="29">
        <f t="shared" si="53"/>
        <v>210.04783652544029</v>
      </c>
      <c r="BJ37" s="77">
        <f t="shared" si="12"/>
        <v>0.46805659572418951</v>
      </c>
      <c r="BK37" s="29">
        <f t="shared" si="80"/>
        <v>108.62339359144416</v>
      </c>
      <c r="BL37" s="29">
        <f t="shared" si="54"/>
        <v>296.80035219215142</v>
      </c>
      <c r="BM37" s="77">
        <f t="shared" si="13"/>
        <v>0.66137011813484414</v>
      </c>
      <c r="BN37" s="32">
        <f t="shared" si="81"/>
        <v>73.375649837354786</v>
      </c>
      <c r="BO37" s="74">
        <f t="shared" si="55"/>
        <v>228.15920716377065</v>
      </c>
      <c r="BP37" s="77">
        <f t="shared" si="14"/>
        <v>0.50841476662993557</v>
      </c>
      <c r="BQ37" s="29">
        <f t="shared" si="82"/>
        <v>100.37190078851367</v>
      </c>
      <c r="BR37" s="29">
        <f t="shared" si="56"/>
        <v>300.88717782719192</v>
      </c>
      <c r="BS37" s="77">
        <f t="shared" si="15"/>
        <v>0.67047692792492597</v>
      </c>
      <c r="BT37" s="29">
        <f t="shared" si="83"/>
        <v>70.785059622562045</v>
      </c>
      <c r="BU37" s="29">
        <f t="shared" si="57"/>
        <v>344.2181690363895</v>
      </c>
      <c r="BV37" s="77">
        <f t="shared" si="16"/>
        <v>0.76703282000275463</v>
      </c>
      <c r="BW37" s="29">
        <f t="shared" si="84"/>
        <v>61.365097379037245</v>
      </c>
      <c r="BX37" s="29">
        <f t="shared" si="58"/>
        <v>447.83010054274092</v>
      </c>
      <c r="BY37" s="77">
        <f t="shared" si="17"/>
        <v>0.99791474070940778</v>
      </c>
      <c r="BZ37" s="29">
        <f t="shared" si="85"/>
        <v>42.78937086692509</v>
      </c>
      <c r="CA37" s="29">
        <f t="shared" si="59"/>
        <v>532.93260640966321</v>
      </c>
      <c r="CB37" s="77">
        <f t="shared" si="18"/>
        <v>1.1875514912828664</v>
      </c>
      <c r="CC37" s="32">
        <f t="shared" si="86"/>
        <v>37.563221394291659</v>
      </c>
      <c r="CD37" s="74">
        <f t="shared" si="60"/>
        <v>690.11980096353273</v>
      </c>
      <c r="CE37" s="77">
        <f t="shared" si="19"/>
        <v>1.5378169564804056</v>
      </c>
      <c r="CF37" s="29">
        <f t="shared" si="87"/>
        <v>31.19040364092892</v>
      </c>
    </row>
    <row r="38" spans="1:84" ht="15" customHeight="1">
      <c r="A38" s="28">
        <f t="shared" si="88"/>
        <v>10.799999999999994</v>
      </c>
      <c r="B38" s="28">
        <f t="shared" si="1"/>
        <v>12.599999999999994</v>
      </c>
      <c r="C38" s="28">
        <f t="shared" si="2"/>
        <v>3.6</v>
      </c>
      <c r="D38" s="29">
        <f t="shared" si="20"/>
        <v>215</v>
      </c>
      <c r="E38" s="29">
        <f t="shared" si="21"/>
        <v>115</v>
      </c>
      <c r="F38" s="29">
        <f t="shared" si="22"/>
        <v>7667.4999999999991</v>
      </c>
      <c r="G38" s="29">
        <f t="shared" si="23"/>
        <v>209907.5</v>
      </c>
      <c r="H38" s="32">
        <f t="shared" si="24"/>
        <v>1570108.1</v>
      </c>
      <c r="I38" s="30">
        <f t="shared" si="25"/>
        <v>0.91264130434782609</v>
      </c>
      <c r="J38" s="29">
        <f t="shared" si="26"/>
        <v>1.6476046828780098</v>
      </c>
      <c r="K38" s="77">
        <f t="shared" si="27"/>
        <v>3.6714124350131654E-3</v>
      </c>
      <c r="L38" s="29">
        <f t="shared" si="61"/>
        <v>14724.452673547235</v>
      </c>
      <c r="M38" s="29">
        <f t="shared" si="28"/>
        <v>6.4175617215762442</v>
      </c>
      <c r="N38" s="77">
        <f t="shared" si="3"/>
        <v>1.43004667029124E-2</v>
      </c>
      <c r="O38" s="29">
        <f t="shared" si="62"/>
        <v>3928.5074638844226</v>
      </c>
      <c r="P38" s="29">
        <f t="shared" si="29"/>
        <v>7.5734891070062149</v>
      </c>
      <c r="Q38" s="77">
        <f t="shared" si="30"/>
        <v>1.6876258226778851E-2</v>
      </c>
      <c r="R38" s="29">
        <f t="shared" si="63"/>
        <v>3161.1478942879639</v>
      </c>
      <c r="S38" s="29">
        <f t="shared" si="31"/>
        <v>14.248850417064439</v>
      </c>
      <c r="T38" s="77">
        <f t="shared" si="32"/>
        <v>3.1751188346025264E-2</v>
      </c>
      <c r="U38" s="29">
        <f t="shared" si="64"/>
        <v>1750.7293237199585</v>
      </c>
      <c r="V38" s="29">
        <f t="shared" si="33"/>
        <v>22.282307815597012</v>
      </c>
      <c r="W38" s="77">
        <f t="shared" si="34"/>
        <v>4.9652409249088675E-2</v>
      </c>
      <c r="X38" s="58">
        <f t="shared" si="65"/>
        <v>997.82966653323808</v>
      </c>
      <c r="Y38" s="55">
        <f t="shared" si="35"/>
        <v>16.197734126551019</v>
      </c>
      <c r="Z38" s="77">
        <f t="shared" si="36"/>
        <v>3.6093950878664523E-2</v>
      </c>
      <c r="AA38" s="29">
        <f t="shared" si="66"/>
        <v>1452.2920534281354</v>
      </c>
      <c r="AB38" s="29">
        <f t="shared" si="37"/>
        <v>29.678362916741687</v>
      </c>
      <c r="AC38" s="77">
        <f t="shared" si="38"/>
        <v>6.6133285366139397E-2</v>
      </c>
      <c r="AD38" s="29">
        <f t="shared" si="67"/>
        <v>818.4982455983079</v>
      </c>
      <c r="AE38" s="55">
        <f t="shared" si="39"/>
        <v>45.119084705513643</v>
      </c>
      <c r="AF38" s="77">
        <f t="shared" si="40"/>
        <v>0.10054036041878624</v>
      </c>
      <c r="AG38" s="29">
        <f t="shared" si="68"/>
        <v>483.73832443619028</v>
      </c>
      <c r="AH38" s="29">
        <f t="shared" si="41"/>
        <v>60.740586148506353</v>
      </c>
      <c r="AI38" s="77">
        <f t="shared" si="42"/>
        <v>0.13535027280092168</v>
      </c>
      <c r="AJ38" s="58">
        <f t="shared" si="69"/>
        <v>373.74428903357796</v>
      </c>
      <c r="AK38" s="29">
        <f t="shared" si="43"/>
        <v>32.860146785822565</v>
      </c>
      <c r="AL38" s="77">
        <f t="shared" si="44"/>
        <v>7.3223360421074621E-2</v>
      </c>
      <c r="AM38" s="29">
        <f t="shared" si="70"/>
        <v>753.58131164703457</v>
      </c>
      <c r="AN38" s="29">
        <f t="shared" si="45"/>
        <v>49.008943922166047</v>
      </c>
      <c r="AO38" s="77">
        <f t="shared" si="46"/>
        <v>0.10920826337322669</v>
      </c>
      <c r="AP38" s="29">
        <f t="shared" si="71"/>
        <v>501.92382313904864</v>
      </c>
      <c r="AQ38" s="29">
        <f t="shared" si="72"/>
        <v>72.272874093674517</v>
      </c>
      <c r="AR38" s="77">
        <f t="shared" si="6"/>
        <v>0.16104805443873807</v>
      </c>
      <c r="AS38" s="29">
        <f t="shared" si="73"/>
        <v>324.11350760644837</v>
      </c>
      <c r="AT38" s="55">
        <f t="shared" si="74"/>
        <v>99.372607589924627</v>
      </c>
      <c r="AU38" s="77">
        <f t="shared" si="47"/>
        <v>0.22143529391288205</v>
      </c>
      <c r="AV38" s="29">
        <f t="shared" si="75"/>
        <v>241.94768317737035</v>
      </c>
      <c r="AW38" s="29">
        <f t="shared" si="48"/>
        <v>142.11949288578418</v>
      </c>
      <c r="AX38" s="77">
        <f t="shared" si="49"/>
        <v>0.31668960331382245</v>
      </c>
      <c r="AY38" s="58">
        <f t="shared" si="76"/>
        <v>155.46319091942945</v>
      </c>
      <c r="AZ38" s="29">
        <f t="shared" si="50"/>
        <v>90.11376621840229</v>
      </c>
      <c r="BA38" s="77">
        <f t="shared" si="9"/>
        <v>0.20080350905667313</v>
      </c>
      <c r="BB38" s="29">
        <f t="shared" si="77"/>
        <v>242.88040881356795</v>
      </c>
      <c r="BC38" s="29">
        <f t="shared" si="51"/>
        <v>119.3028225922982</v>
      </c>
      <c r="BD38" s="77">
        <f t="shared" si="10"/>
        <v>0.26584645634317117</v>
      </c>
      <c r="BE38" s="29">
        <f t="shared" si="78"/>
        <v>183.62732941486215</v>
      </c>
      <c r="BF38" s="29">
        <f t="shared" si="52"/>
        <v>154.6321408978632</v>
      </c>
      <c r="BG38" s="77">
        <f t="shared" si="11"/>
        <v>0.34457195396740514</v>
      </c>
      <c r="BH38" s="29">
        <f t="shared" si="79"/>
        <v>134.18009048854779</v>
      </c>
      <c r="BI38" s="29">
        <f t="shared" si="53"/>
        <v>204.75246297474953</v>
      </c>
      <c r="BJ38" s="77">
        <f t="shared" si="12"/>
        <v>0.45625673832873359</v>
      </c>
      <c r="BK38" s="29">
        <f t="shared" si="80"/>
        <v>113.29186816205065</v>
      </c>
      <c r="BL38" s="29">
        <f t="shared" si="54"/>
        <v>285.84881708167137</v>
      </c>
      <c r="BM38" s="77">
        <f t="shared" si="13"/>
        <v>0.63696644739699115</v>
      </c>
      <c r="BN38" s="32">
        <f t="shared" si="81"/>
        <v>76.719661110256283</v>
      </c>
      <c r="BO38" s="74">
        <f t="shared" si="55"/>
        <v>222.61973934677087</v>
      </c>
      <c r="BP38" s="77">
        <f t="shared" si="14"/>
        <v>0.4960709858443878</v>
      </c>
      <c r="BQ38" s="29">
        <f t="shared" si="82"/>
        <v>104.66568744674754</v>
      </c>
      <c r="BR38" s="29">
        <f t="shared" si="56"/>
        <v>288.10741179501656</v>
      </c>
      <c r="BS38" s="77">
        <f t="shared" si="15"/>
        <v>0.64199934928322866</v>
      </c>
      <c r="BT38" s="29">
        <f t="shared" si="83"/>
        <v>74.102855790009343</v>
      </c>
      <c r="BU38" s="29">
        <f t="shared" si="57"/>
        <v>328.88638698525244</v>
      </c>
      <c r="BV38" s="77">
        <f t="shared" si="16"/>
        <v>0.73286849899880435</v>
      </c>
      <c r="BW38" s="29">
        <f t="shared" si="84"/>
        <v>64.271516448031818</v>
      </c>
      <c r="BX38" s="29">
        <f t="shared" si="58"/>
        <v>417.01242491832511</v>
      </c>
      <c r="BY38" s="77">
        <f t="shared" si="17"/>
        <v>0.92924268685966793</v>
      </c>
      <c r="BZ38" s="29">
        <f t="shared" si="85"/>
        <v>45.081584742456215</v>
      </c>
      <c r="CA38" s="29">
        <f t="shared" si="59"/>
        <v>502.05405714323268</v>
      </c>
      <c r="CB38" s="77">
        <f t="shared" si="18"/>
        <v>1.1187437906675037</v>
      </c>
      <c r="CC38" s="32">
        <f t="shared" si="86"/>
        <v>39.467163117431561</v>
      </c>
      <c r="CD38" s="74">
        <f t="shared" si="60"/>
        <v>662.6372220613008</v>
      </c>
      <c r="CE38" s="77">
        <f t="shared" si="19"/>
        <v>1.4765766098265987</v>
      </c>
      <c r="CF38" s="29">
        <f t="shared" si="87"/>
        <v>32.632945102293185</v>
      </c>
    </row>
    <row r="39" spans="1:84" ht="15" customHeight="1" thickBot="1">
      <c r="A39" s="33">
        <f>+IF(A38-C39&gt;0,A38-C39,0)</f>
        <v>7.199999999999994</v>
      </c>
      <c r="B39" s="33">
        <f>+(A38+A39)/2</f>
        <v>8.9999999999999929</v>
      </c>
      <c r="C39" s="33">
        <f t="shared" si="2"/>
        <v>3.6</v>
      </c>
      <c r="D39" s="34">
        <f>+D38-(2*(($D$16-$D$18)/(2*$D$15))*(C39/12))</f>
        <v>210</v>
      </c>
      <c r="E39" s="34">
        <f>+E38-(2*(($D$17-$D$19)/(2*$D$15))*(C39/12))</f>
        <v>110</v>
      </c>
      <c r="F39" s="34">
        <f>+IF(B39&gt;0,+(((D38*E38)+4*(((D38+D39)/2)*((E38+E39)/2))+(D39*E39))/6)*(C39/12),0)</f>
        <v>7172.4999999999991</v>
      </c>
      <c r="G39" s="34">
        <f>+G38+F39</f>
        <v>217080</v>
      </c>
      <c r="H39" s="35">
        <f t="shared" si="24"/>
        <v>1623758.4000000001</v>
      </c>
      <c r="I39" s="36">
        <f t="shared" si="25"/>
        <v>0.94382608695652181</v>
      </c>
      <c r="J39" s="37">
        <f t="shared" si="26"/>
        <v>1.612721124193095</v>
      </c>
      <c r="K39" s="78">
        <f t="shared" si="27"/>
        <v>3.5936802384102804E-3</v>
      </c>
      <c r="L39" s="96">
        <f t="shared" si="61"/>
        <v>15278.901705839819</v>
      </c>
      <c r="M39" s="37">
        <f t="shared" si="28"/>
        <v>6.3505429782336726</v>
      </c>
      <c r="N39" s="79">
        <f t="shared" si="3"/>
        <v>1.4151126603164034E-2</v>
      </c>
      <c r="O39" s="96">
        <f t="shared" si="62"/>
        <v>4069.3098597947278</v>
      </c>
      <c r="P39" s="37">
        <f t="shared" si="29"/>
        <v>7.3852572565062333</v>
      </c>
      <c r="Q39" s="79">
        <f t="shared" si="30"/>
        <v>1.6456814919914724E-2</v>
      </c>
      <c r="R39" s="96">
        <f t="shared" si="63"/>
        <v>3282.2231169389993</v>
      </c>
      <c r="S39" s="37">
        <f t="shared" si="31"/>
        <v>14.057888457684752</v>
      </c>
      <c r="T39" s="79">
        <f t="shared" si="32"/>
        <v>3.1325661446540858E-2</v>
      </c>
      <c r="U39" s="96">
        <f t="shared" si="64"/>
        <v>1814.3357230279476</v>
      </c>
      <c r="V39" s="37">
        <f t="shared" si="33"/>
        <v>21.272754402209376</v>
      </c>
      <c r="W39" s="79">
        <f t="shared" si="34"/>
        <v>4.7402787726256571E-2</v>
      </c>
      <c r="X39" s="97">
        <f t="shared" si="65"/>
        <v>1039.8633237531888</v>
      </c>
      <c r="Y39" s="37">
        <f t="shared" si="35"/>
        <v>15.71616505663607</v>
      </c>
      <c r="Z39" s="79">
        <f t="shared" si="36"/>
        <v>3.5020854467870711E-2</v>
      </c>
      <c r="AA39" s="96">
        <f t="shared" si="66"/>
        <v>1509.1870824281718</v>
      </c>
      <c r="AB39" s="37">
        <f t="shared" si="37"/>
        <v>29.060758070653002</v>
      </c>
      <c r="AC39" s="79">
        <f t="shared" si="38"/>
        <v>6.4757055900771784E-2</v>
      </c>
      <c r="AD39" s="96">
        <f t="shared" si="67"/>
        <v>849.26728694584403</v>
      </c>
      <c r="AE39" s="55">
        <f t="shared" si="39"/>
        <v>42.845025120554673</v>
      </c>
      <c r="AF39" s="79">
        <f t="shared" si="40"/>
        <v>9.5472997643635996E-2</v>
      </c>
      <c r="AG39" s="96">
        <f t="shared" si="68"/>
        <v>504.6082308990924</v>
      </c>
      <c r="AH39" s="37">
        <f t="shared" si="41"/>
        <v>58.336935880510943</v>
      </c>
      <c r="AI39" s="79">
        <f t="shared" si="42"/>
        <v>0.12999413878707189</v>
      </c>
      <c r="AJ39" s="97">
        <f t="shared" si="69"/>
        <v>389.07199956842953</v>
      </c>
      <c r="AK39" s="29">
        <f t="shared" si="43"/>
        <v>32.352196448788909</v>
      </c>
      <c r="AL39" s="79">
        <f t="shared" si="44"/>
        <v>7.209147775338462E-2</v>
      </c>
      <c r="AM39" s="97">
        <f t="shared" si="70"/>
        <v>781.21998119091154</v>
      </c>
      <c r="AN39" s="29">
        <f t="shared" si="45"/>
        <v>48.160534598078044</v>
      </c>
      <c r="AO39" s="79">
        <f t="shared" si="46"/>
        <v>0.10731772459605059</v>
      </c>
      <c r="AP39" s="97">
        <f t="shared" si="71"/>
        <v>520.49030447338066</v>
      </c>
      <c r="AQ39" s="29">
        <f t="shared" si="72"/>
        <v>70.486086725751008</v>
      </c>
      <c r="AR39" s="79">
        <f t="shared" si="6"/>
        <v>0.15706649658721519</v>
      </c>
      <c r="AS39" s="97">
        <f t="shared" si="73"/>
        <v>336.79929721689632</v>
      </c>
      <c r="AT39" s="55">
        <f t="shared" si="74"/>
        <v>97.020245660132062</v>
      </c>
      <c r="AU39" s="79">
        <f t="shared" si="47"/>
        <v>0.21619344741266094</v>
      </c>
      <c r="AV39" s="97">
        <f t="shared" si="75"/>
        <v>251.16402416458044</v>
      </c>
      <c r="AW39" s="29">
        <f t="shared" si="48"/>
        <v>135.43412756077836</v>
      </c>
      <c r="AX39" s="79">
        <f t="shared" si="49"/>
        <v>0.30179238091460114</v>
      </c>
      <c r="AY39" s="97">
        <f t="shared" si="76"/>
        <v>162.06545345673115</v>
      </c>
      <c r="AZ39" s="29">
        <f t="shared" si="50"/>
        <v>85.641047215632781</v>
      </c>
      <c r="BA39" s="79">
        <f t="shared" si="9"/>
        <v>0.19083680021216839</v>
      </c>
      <c r="BB39" s="97">
        <f t="shared" si="77"/>
        <v>253.32133283000672</v>
      </c>
      <c r="BC39" s="29">
        <f t="shared" si="51"/>
        <v>113.41185381525746</v>
      </c>
      <c r="BD39" s="79">
        <f t="shared" si="10"/>
        <v>0.25271941425166539</v>
      </c>
      <c r="BE39" s="97">
        <f t="shared" si="78"/>
        <v>191.51161696141114</v>
      </c>
      <c r="BF39" s="29">
        <f t="shared" si="52"/>
        <v>144.69519004059151</v>
      </c>
      <c r="BG39" s="79">
        <f t="shared" si="11"/>
        <v>0.32242911514045147</v>
      </c>
      <c r="BH39" s="97">
        <f t="shared" si="79"/>
        <v>140.35978220059312</v>
      </c>
      <c r="BI39" s="29">
        <f t="shared" si="53"/>
        <v>197.87117202635673</v>
      </c>
      <c r="BJ39" s="79">
        <f t="shared" si="12"/>
        <v>0.44092292833206498</v>
      </c>
      <c r="BK39" s="97">
        <f t="shared" si="80"/>
        <v>117.81082692451031</v>
      </c>
      <c r="BL39" s="29">
        <f t="shared" si="54"/>
        <v>271.81639306147127</v>
      </c>
      <c r="BM39" s="79">
        <f t="shared" si="13"/>
        <v>0.60569752920531184</v>
      </c>
      <c r="BN39" s="98">
        <f t="shared" si="81"/>
        <v>80.009277518581044</v>
      </c>
      <c r="BO39" s="74">
        <f t="shared" si="55"/>
        <v>215.41321772794868</v>
      </c>
      <c r="BP39" s="79">
        <f t="shared" si="14"/>
        <v>0.48001245350377902</v>
      </c>
      <c r="BQ39" s="97">
        <f t="shared" si="82"/>
        <v>108.81664752291121</v>
      </c>
      <c r="BR39" s="29">
        <f t="shared" si="56"/>
        <v>271.84297803384749</v>
      </c>
      <c r="BS39" s="79">
        <f t="shared" si="15"/>
        <v>0.60575676938542355</v>
      </c>
      <c r="BT39" s="97">
        <f t="shared" si="83"/>
        <v>77.392150489228442</v>
      </c>
      <c r="BU39" s="29">
        <f t="shared" si="57"/>
        <v>309.42320839978277</v>
      </c>
      <c r="BV39" s="79">
        <f t="shared" si="16"/>
        <v>0.68949804938418269</v>
      </c>
      <c r="BW39" s="97">
        <f t="shared" si="84"/>
        <v>67.161317996179989</v>
      </c>
      <c r="BX39" s="29">
        <f t="shared" si="58"/>
        <v>379.04648292143014</v>
      </c>
      <c r="BY39" s="79">
        <f t="shared" si="17"/>
        <v>0.84464191277658685</v>
      </c>
      <c r="BZ39" s="97">
        <f t="shared" si="85"/>
        <v>47.440587416152077</v>
      </c>
      <c r="CA39" s="29">
        <f t="shared" si="59"/>
        <v>463.49502029541804</v>
      </c>
      <c r="CB39" s="79">
        <f t="shared" si="18"/>
        <v>1.0328214035582899</v>
      </c>
      <c r="CC39" s="98">
        <f t="shared" si="86"/>
        <v>41.396356803475371</v>
      </c>
      <c r="CD39" s="74">
        <f t="shared" si="60"/>
        <v>627.54796315423175</v>
      </c>
      <c r="CE39" s="79">
        <f t="shared" si="19"/>
        <v>1.3983860445620133</v>
      </c>
      <c r="CF39" s="97">
        <f t="shared" si="87"/>
        <v>34.057810959832281</v>
      </c>
    </row>
    <row r="40" spans="1:84" ht="15" customHeight="1">
      <c r="A40" s="38">
        <f t="shared" si="88"/>
        <v>3.5999999999999939</v>
      </c>
      <c r="B40" s="38">
        <f t="shared" si="1"/>
        <v>5.3999999999999941</v>
      </c>
      <c r="C40" s="38">
        <f t="shared" si="2"/>
        <v>3.6</v>
      </c>
      <c r="D40" s="39">
        <f t="shared" si="20"/>
        <v>205</v>
      </c>
      <c r="E40" s="39">
        <f t="shared" si="21"/>
        <v>105</v>
      </c>
      <c r="F40" s="39">
        <f t="shared" si="22"/>
        <v>6692.4999999999991</v>
      </c>
      <c r="G40" s="39">
        <f t="shared" si="23"/>
        <v>223772.5</v>
      </c>
      <c r="H40" s="40">
        <f t="shared" si="24"/>
        <v>1673818.3</v>
      </c>
      <c r="I40" s="41">
        <f t="shared" si="25"/>
        <v>0.97292391304347825</v>
      </c>
      <c r="J40" s="29">
        <f t="shared" si="26"/>
        <v>1.5611681917683802</v>
      </c>
      <c r="K40" s="77">
        <f t="shared" si="27"/>
        <v>3.4788031206572077E-3</v>
      </c>
      <c r="L40" s="29">
        <f t="shared" si="61"/>
        <v>15813.329495917706</v>
      </c>
      <c r="M40" s="29">
        <f t="shared" si="28"/>
        <v>6.2501318415306386</v>
      </c>
      <c r="N40" s="80">
        <f t="shared" si="3"/>
        <v>1.3927377120210775E-2</v>
      </c>
      <c r="O40" s="29">
        <f t="shared" si="62"/>
        <v>4202.8001105319572</v>
      </c>
      <c r="P40" s="29">
        <f t="shared" si="29"/>
        <v>7.1083915438094376</v>
      </c>
      <c r="Q40" s="77">
        <f t="shared" si="30"/>
        <v>1.5839865823455365E-2</v>
      </c>
      <c r="R40" s="29">
        <f t="shared" si="63"/>
        <v>3399.5958955098799</v>
      </c>
      <c r="S40" s="29">
        <f t="shared" si="31"/>
        <v>13.772854459233418</v>
      </c>
      <c r="T40" s="77">
        <f t="shared" si="32"/>
        <v>3.069051068665847E-2</v>
      </c>
      <c r="U40" s="29">
        <f t="shared" si="64"/>
        <v>1874.9137004643767</v>
      </c>
      <c r="V40" s="29">
        <f t="shared" si="33"/>
        <v>19.82681564474527</v>
      </c>
      <c r="W40" s="77">
        <f t="shared" si="34"/>
        <v>4.4180754195040715E-2</v>
      </c>
      <c r="X40" s="58">
        <f t="shared" si="65"/>
        <v>1081.9442953835367</v>
      </c>
      <c r="Y40" s="55">
        <f t="shared" si="35"/>
        <v>15.012283194666685</v>
      </c>
      <c r="Z40" s="77">
        <f t="shared" si="36"/>
        <v>3.3452371052115598E-2</v>
      </c>
      <c r="AA40" s="29">
        <f t="shared" si="66"/>
        <v>1564.7636829923733</v>
      </c>
      <c r="AB40" s="29">
        <f t="shared" si="37"/>
        <v>28.147601387952221</v>
      </c>
      <c r="AC40" s="77">
        <f t="shared" si="38"/>
        <v>6.2722238426153543E-2</v>
      </c>
      <c r="AD40" s="29">
        <f t="shared" si="67"/>
        <v>878.90859297285692</v>
      </c>
      <c r="AE40" s="55">
        <f t="shared" si="39"/>
        <v>39.609763466685834</v>
      </c>
      <c r="AF40" s="77">
        <f t="shared" si="40"/>
        <v>8.8263756258264936E-2</v>
      </c>
      <c r="AG40" s="29">
        <f t="shared" si="68"/>
        <v>525.67201905749403</v>
      </c>
      <c r="AH40" s="29">
        <f t="shared" si="41"/>
        <v>54.868332821079441</v>
      </c>
      <c r="AI40" s="77">
        <f t="shared" si="42"/>
        <v>0.12226493496963871</v>
      </c>
      <c r="AJ40" s="58">
        <f t="shared" si="69"/>
        <v>404.27806878484517</v>
      </c>
      <c r="AK40" s="29">
        <f t="shared" si="43"/>
        <v>31.596005003770735</v>
      </c>
      <c r="AL40" s="77">
        <f t="shared" si="44"/>
        <v>7.0406431150069129E-2</v>
      </c>
      <c r="AM40" s="29">
        <f t="shared" si="70"/>
        <v>807.62622041536713</v>
      </c>
      <c r="AN40" s="29">
        <f t="shared" si="45"/>
        <v>46.900486640287362</v>
      </c>
      <c r="AO40" s="77">
        <f t="shared" si="46"/>
        <v>0.10450991773010701</v>
      </c>
      <c r="AP40" s="29">
        <f t="shared" si="71"/>
        <v>538.27970766370868</v>
      </c>
      <c r="AQ40" s="29">
        <f t="shared" si="72"/>
        <v>67.85749962016915</v>
      </c>
      <c r="AR40" s="77">
        <f t="shared" si="6"/>
        <v>0.15120912832027694</v>
      </c>
      <c r="AS40" s="29">
        <f t="shared" si="73"/>
        <v>349.09464660844213</v>
      </c>
      <c r="AT40" s="55">
        <f t="shared" si="74"/>
        <v>93.554943101001882</v>
      </c>
      <c r="AU40" s="77">
        <f t="shared" si="47"/>
        <v>0.20847159821006586</v>
      </c>
      <c r="AV40" s="29">
        <f t="shared" si="75"/>
        <v>260.08211698802347</v>
      </c>
      <c r="AW40" s="29">
        <f t="shared" si="48"/>
        <v>125.88076499161559</v>
      </c>
      <c r="AX40" s="77">
        <f t="shared" si="49"/>
        <v>0.28050430465631676</v>
      </c>
      <c r="AY40" s="58">
        <f t="shared" si="76"/>
        <v>168.69340544544235</v>
      </c>
      <c r="AZ40" s="29">
        <f t="shared" si="50"/>
        <v>79.271349823848581</v>
      </c>
      <c r="BA40" s="80">
        <f t="shared" si="9"/>
        <v>0.17664299119080926</v>
      </c>
      <c r="BB40" s="29">
        <f t="shared" si="77"/>
        <v>263.84634178369123</v>
      </c>
      <c r="BC40" s="29">
        <f t="shared" si="51"/>
        <v>105.01956440345438</v>
      </c>
      <c r="BD40" s="80">
        <f t="shared" si="10"/>
        <v>0.23401859601236422</v>
      </c>
      <c r="BE40" s="29">
        <f t="shared" si="78"/>
        <v>199.45615254776538</v>
      </c>
      <c r="BF40" s="29">
        <f t="shared" si="52"/>
        <v>130.81608612199187</v>
      </c>
      <c r="BG40" s="80">
        <f t="shared" si="11"/>
        <v>0.29150184524183859</v>
      </c>
      <c r="BH40" s="29">
        <f t="shared" si="79"/>
        <v>146.73768029707503</v>
      </c>
      <c r="BI40" s="29">
        <f t="shared" si="53"/>
        <v>187.86362285112739</v>
      </c>
      <c r="BJ40" s="80">
        <f t="shared" si="12"/>
        <v>0.41862277291992889</v>
      </c>
      <c r="BK40" s="29">
        <f t="shared" si="80"/>
        <v>122.25198298231631</v>
      </c>
      <c r="BL40" s="29">
        <f t="shared" si="54"/>
        <v>251.8181750583737</v>
      </c>
      <c r="BM40" s="80">
        <f t="shared" si="13"/>
        <v>0.56113483342174275</v>
      </c>
      <c r="BN40" s="32">
        <f t="shared" si="81"/>
        <v>83.3225080527681</v>
      </c>
      <c r="BO40" s="74">
        <f t="shared" si="55"/>
        <v>204.91584455220089</v>
      </c>
      <c r="BP40" s="80">
        <f t="shared" si="14"/>
        <v>0.45662080694382107</v>
      </c>
      <c r="BQ40" s="29">
        <f t="shared" si="82"/>
        <v>112.8882295349802</v>
      </c>
      <c r="BR40" s="29">
        <f t="shared" si="56"/>
        <v>248.88850565614294</v>
      </c>
      <c r="BS40" s="80">
        <f t="shared" si="15"/>
        <v>0.5546065534371053</v>
      </c>
      <c r="BT40" s="29">
        <f t="shared" si="83"/>
        <v>80.74438109733596</v>
      </c>
      <c r="BU40" s="29">
        <f t="shared" si="57"/>
        <v>282.05363862058863</v>
      </c>
      <c r="BV40" s="80">
        <f t="shared" si="16"/>
        <v>0.62850952472621169</v>
      </c>
      <c r="BW40" s="29">
        <f t="shared" si="84"/>
        <v>70.119378281262811</v>
      </c>
      <c r="BX40" s="29">
        <f t="shared" si="58"/>
        <v>327.90948644150495</v>
      </c>
      <c r="BY40" s="80">
        <f t="shared" si="17"/>
        <v>0.73069163895382028</v>
      </c>
      <c r="BZ40" s="29">
        <f t="shared" si="85"/>
        <v>49.984983663180138</v>
      </c>
      <c r="CA40" s="29">
        <f t="shared" si="59"/>
        <v>410.54048826188983</v>
      </c>
      <c r="CB40" s="80">
        <f t="shared" si="18"/>
        <v>0.91482105467691133</v>
      </c>
      <c r="CC40" s="32">
        <f t="shared" si="86"/>
        <v>43.428633011356801</v>
      </c>
      <c r="CD40" s="74">
        <f t="shared" si="60"/>
        <v>577.7952689902894</v>
      </c>
      <c r="CE40" s="80">
        <f t="shared" si="19"/>
        <v>1.2875204577333617</v>
      </c>
      <c r="CF40" s="29">
        <f t="shared" si="87"/>
        <v>35.501802822425198</v>
      </c>
    </row>
    <row r="41" spans="1:84" ht="15" customHeight="1">
      <c r="A41" s="29">
        <f t="shared" si="88"/>
        <v>0</v>
      </c>
      <c r="B41" s="28">
        <f t="shared" si="1"/>
        <v>1.7999999999999969</v>
      </c>
      <c r="C41" s="28">
        <f t="shared" si="2"/>
        <v>3.6</v>
      </c>
      <c r="D41" s="29">
        <f t="shared" si="20"/>
        <v>200</v>
      </c>
      <c r="E41" s="29">
        <f t="shared" si="21"/>
        <v>100</v>
      </c>
      <c r="F41" s="29">
        <f t="shared" si="22"/>
        <v>6227.4999999999991</v>
      </c>
      <c r="G41" s="29">
        <f t="shared" si="23"/>
        <v>230000</v>
      </c>
      <c r="H41" s="29">
        <f t="shared" si="24"/>
        <v>1720400</v>
      </c>
      <c r="I41" s="41">
        <f t="shared" si="25"/>
        <v>1</v>
      </c>
      <c r="J41" s="29">
        <f t="shared" si="26"/>
        <v>1.4558102818216019</v>
      </c>
      <c r="K41" s="77">
        <f t="shared" si="27"/>
        <v>3.2440305779924696E-3</v>
      </c>
      <c r="L41" s="29">
        <f t="shared" si="61"/>
        <v>16346.614413850304</v>
      </c>
      <c r="M41" s="29">
        <f t="shared" si="28"/>
        <v>6.0395279490653575</v>
      </c>
      <c r="N41" s="77">
        <f t="shared" si="3"/>
        <v>1.345808144650064E-2</v>
      </c>
      <c r="O41" s="29">
        <f t="shared" si="62"/>
        <v>4331.3468567700984</v>
      </c>
      <c r="P41" s="29">
        <f t="shared" si="29"/>
        <v>6.547608015856504</v>
      </c>
      <c r="Q41" s="77">
        <f t="shared" si="30"/>
        <v>1.4590253195333578E-2</v>
      </c>
      <c r="R41" s="29">
        <f t="shared" si="63"/>
        <v>3518.167695285696</v>
      </c>
      <c r="S41" s="29">
        <f t="shared" si="31"/>
        <v>13.179271231024428</v>
      </c>
      <c r="T41" s="77">
        <f t="shared" si="32"/>
        <v>2.9367809393132771E-2</v>
      </c>
      <c r="U41" s="29">
        <f t="shared" si="64"/>
        <v>1933.821484746036</v>
      </c>
      <c r="V41" s="29">
        <f t="shared" si="33"/>
        <v>17.041415267260213</v>
      </c>
      <c r="W41" s="77">
        <f t="shared" si="34"/>
        <v>3.7973953687211508E-2</v>
      </c>
      <c r="X41" s="58">
        <f t="shared" si="65"/>
        <v>1127.5016422641213</v>
      </c>
      <c r="Y41" s="55">
        <f t="shared" si="35"/>
        <v>13.603447093105684</v>
      </c>
      <c r="Z41" s="77">
        <f t="shared" si="36"/>
        <v>3.0313014605803833E-2</v>
      </c>
      <c r="AA41" s="29">
        <f t="shared" si="66"/>
        <v>1621.8346343000114</v>
      </c>
      <c r="AB41" s="29">
        <f t="shared" si="37"/>
        <v>26.279755099236127</v>
      </c>
      <c r="AC41" s="77">
        <f t="shared" si="38"/>
        <v>5.8560054279464507E-2</v>
      </c>
      <c r="AD41" s="29">
        <f t="shared" si="67"/>
        <v>908.45078861870718</v>
      </c>
      <c r="AE41" s="55">
        <f t="shared" si="39"/>
        <v>33.455591458093721</v>
      </c>
      <c r="AF41" s="77">
        <f t="shared" si="40"/>
        <v>7.455020963245218E-2</v>
      </c>
      <c r="AG41" s="29">
        <f t="shared" si="68"/>
        <v>548.8777563597065</v>
      </c>
      <c r="AH41" s="29">
        <f t="shared" si="41"/>
        <v>48.091377149888793</v>
      </c>
      <c r="AI41" s="77">
        <f t="shared" si="42"/>
        <v>0.1071636187490022</v>
      </c>
      <c r="AJ41" s="58">
        <f t="shared" si="69"/>
        <v>420.42153800276634</v>
      </c>
      <c r="AK41" s="29">
        <f t="shared" si="43"/>
        <v>30.029040788315335</v>
      </c>
      <c r="AL41" s="77">
        <f t="shared" si="44"/>
        <v>6.6914712556629341E-2</v>
      </c>
      <c r="AM41" s="29">
        <f t="shared" si="70"/>
        <v>833.4799155813065</v>
      </c>
      <c r="AN41" s="29">
        <f t="shared" si="45"/>
        <v>44.301125087696541</v>
      </c>
      <c r="AO41" s="77">
        <f t="shared" si="46"/>
        <v>9.8717673737083803E-2</v>
      </c>
      <c r="AP41" s="29">
        <f t="shared" si="71"/>
        <v>555.80435664564345</v>
      </c>
      <c r="AQ41" s="29">
        <f t="shared" si="72"/>
        <v>62.531670615677925</v>
      </c>
      <c r="AR41" s="77">
        <f t="shared" si="6"/>
        <v>0.13934140602193565</v>
      </c>
      <c r="AS41" s="29">
        <f t="shared" si="73"/>
        <v>361.51014197299452</v>
      </c>
      <c r="AT41" s="55">
        <f t="shared" si="74"/>
        <v>86.515855308522617</v>
      </c>
      <c r="AU41" s="77">
        <f t="shared" si="47"/>
        <v>0.19278616424582457</v>
      </c>
      <c r="AV41" s="29">
        <f t="shared" si="75"/>
        <v>269.05575151892072</v>
      </c>
      <c r="AW41" s="29">
        <f t="shared" si="48"/>
        <v>107.55623957340869</v>
      </c>
      <c r="AX41" s="77">
        <f t="shared" si="49"/>
        <v>0.23967115384941237</v>
      </c>
      <c r="AY41" s="58">
        <f t="shared" si="76"/>
        <v>175.91159817648133</v>
      </c>
      <c r="AZ41" s="29">
        <f t="shared" si="50"/>
        <v>67.13172510596003</v>
      </c>
      <c r="BA41" s="77">
        <f t="shared" si="9"/>
        <v>0.14959186077778094</v>
      </c>
      <c r="BB41" s="29">
        <f t="shared" si="77"/>
        <v>275.41109250983845</v>
      </c>
      <c r="BC41" s="29">
        <f t="shared" si="51"/>
        <v>89.015054846720631</v>
      </c>
      <c r="BD41" s="77">
        <f t="shared" si="10"/>
        <v>0.19835521388344249</v>
      </c>
      <c r="BE41" s="29">
        <f t="shared" si="78"/>
        <v>208.17784201932187</v>
      </c>
      <c r="BF41" s="29">
        <f t="shared" si="52"/>
        <v>105.31189210805677</v>
      </c>
      <c r="BG41" s="77">
        <f t="shared" si="11"/>
        <v>0.23466999958078652</v>
      </c>
      <c r="BH41" s="29">
        <f t="shared" si="79"/>
        <v>154.10970306797034</v>
      </c>
      <c r="BI41" s="29">
        <f t="shared" si="53"/>
        <v>168.02239611011703</v>
      </c>
      <c r="BJ41" s="77">
        <f t="shared" si="12"/>
        <v>0.37440990599871082</v>
      </c>
      <c r="BK41" s="29">
        <f t="shared" si="80"/>
        <v>126.87256740820357</v>
      </c>
      <c r="BL41" s="29">
        <f t="shared" si="54"/>
        <v>213.65336267753466</v>
      </c>
      <c r="BM41" s="77">
        <f t="shared" si="13"/>
        <v>0.47609090983310648</v>
      </c>
      <c r="BN41" s="32">
        <f t="shared" si="81"/>
        <v>86.956252249148577</v>
      </c>
      <c r="BO41" s="74">
        <f t="shared" si="55"/>
        <v>184.04036317675903</v>
      </c>
      <c r="BP41" s="77">
        <f t="shared" si="14"/>
        <v>0.41010327594554474</v>
      </c>
      <c r="BQ41" s="29">
        <f t="shared" si="82"/>
        <v>117.10666104242631</v>
      </c>
      <c r="BR41" s="29">
        <f t="shared" si="56"/>
        <v>205.87613169519952</v>
      </c>
      <c r="BS41" s="77">
        <f t="shared" si="15"/>
        <v>0.45876064679413631</v>
      </c>
      <c r="BT41" s="29">
        <f t="shared" si="83"/>
        <v>84.51539457167145</v>
      </c>
      <c r="BU41" s="29">
        <f t="shared" si="57"/>
        <v>231.11579287583569</v>
      </c>
      <c r="BV41" s="77">
        <f t="shared" si="16"/>
        <v>0.5150030251249873</v>
      </c>
      <c r="BW41" s="29">
        <f t="shared" si="84"/>
        <v>73.47856744357054</v>
      </c>
      <c r="BX41" s="29">
        <f t="shared" si="58"/>
        <v>240.10139373842594</v>
      </c>
      <c r="BY41" s="77">
        <f t="shared" si="17"/>
        <v>0.53502593904712581</v>
      </c>
      <c r="BZ41" s="29">
        <f t="shared" si="85"/>
        <v>53.218457882461259</v>
      </c>
      <c r="CA41" s="29">
        <f t="shared" si="59"/>
        <v>316.2566719979452</v>
      </c>
      <c r="CB41" s="77">
        <f t="shared" si="18"/>
        <v>0.7047252841020879</v>
      </c>
      <c r="CC41" s="32">
        <f t="shared" si="86"/>
        <v>45.88347977162281</v>
      </c>
      <c r="CD41" s="74">
        <f t="shared" si="60"/>
        <v>483.752780896084</v>
      </c>
      <c r="CE41" s="77">
        <f t="shared" si="19"/>
        <v>1.0779624467634406</v>
      </c>
      <c r="CF41" s="29">
        <f t="shared" si="87"/>
        <v>37.10667559489498</v>
      </c>
    </row>
    <row r="42" spans="1:84" ht="30" customHeight="1">
      <c r="A42" s="153" t="s">
        <v>20</v>
      </c>
      <c r="B42" s="154"/>
      <c r="C42" s="154"/>
      <c r="D42" s="155" t="s">
        <v>18</v>
      </c>
      <c r="E42" s="156"/>
      <c r="F42" s="156"/>
      <c r="G42" s="156"/>
      <c r="H42" s="156"/>
      <c r="I42" s="156"/>
      <c r="J42" s="122" t="str">
        <f>IF(AND(L39&gt;=$D$14,L39&lt;=$D$13),J15,"no")</f>
        <v>no</v>
      </c>
      <c r="K42" s="122"/>
      <c r="L42" s="123"/>
      <c r="M42" s="122" t="str">
        <f>IF(AND(O39&gt;=$D$14,O39&lt;=$D$13),M15,"no")</f>
        <v>no</v>
      </c>
      <c r="N42" s="122"/>
      <c r="O42" s="123"/>
      <c r="P42" s="122" t="str">
        <f>IF(AND(R39&gt;=$D$14,R39&lt;=$D$13),P15,"no")</f>
        <v>no</v>
      </c>
      <c r="Q42" s="122"/>
      <c r="R42" s="123"/>
      <c r="S42" s="122" t="str">
        <f>IF(AND(U39&gt;=$D$14,U39&lt;=$D$13),S15,"no")</f>
        <v>no</v>
      </c>
      <c r="T42" s="122"/>
      <c r="U42" s="123"/>
      <c r="V42" s="122" t="str">
        <f>IF(AND(X39&gt;=$D$14,X39&lt;=$D$13),V15,"no")</f>
        <v>no</v>
      </c>
      <c r="W42" s="122"/>
      <c r="X42" s="157"/>
      <c r="Y42" s="166" t="str">
        <f>IF(AND(AA39&gt;=$D$14,AA39&lt;=$D$13),Y15,"no")</f>
        <v>no</v>
      </c>
      <c r="Z42" s="122"/>
      <c r="AA42" s="123"/>
      <c r="AB42" s="122" t="str">
        <f>IF(AND(AD39&gt;=$D$14,AD39&lt;=$D$13),AB15,"no")</f>
        <v>no</v>
      </c>
      <c r="AC42" s="122"/>
      <c r="AD42" s="123"/>
      <c r="AE42" s="166" t="str">
        <f>IF(AND(AG39&gt;=$D$14,AG39&lt;=$D$13),AE15,"no")</f>
        <v>no</v>
      </c>
      <c r="AF42" s="122"/>
      <c r="AG42" s="123"/>
      <c r="AH42" s="122" t="str">
        <f>IF(AND(AJ39&gt;=$D$14,AJ39&lt;=$D$13),AH15,"no")</f>
        <v>no</v>
      </c>
      <c r="AI42" s="122"/>
      <c r="AJ42" s="157"/>
      <c r="AK42" s="122" t="str">
        <f>IF(AND(AM39&gt;=$D$14,AM39&lt;=$D$13),AK15,"no")</f>
        <v>no</v>
      </c>
      <c r="AL42" s="122"/>
      <c r="AM42" s="123"/>
      <c r="AN42" s="122" t="str">
        <f>IF(AND(AP39&gt;=$D$14,AP39&lt;=$D$13),AN15,"no")</f>
        <v>no</v>
      </c>
      <c r="AO42" s="122"/>
      <c r="AP42" s="123"/>
      <c r="AQ42" s="166" t="str">
        <f>IF(AND(AS39&gt;=$D$14,AS39&lt;=$D$13),AQ15,"no")</f>
        <v>no</v>
      </c>
      <c r="AR42" s="122"/>
      <c r="AS42" s="123"/>
      <c r="AT42" s="166" t="str">
        <f>IF(AND(AV39&gt;=$D$14,AV39&lt;=$D$13),AT15,"no")</f>
        <v>no</v>
      </c>
      <c r="AU42" s="122"/>
      <c r="AV42" s="123"/>
      <c r="AW42" s="122" t="str">
        <f>IF(AND(AY39&gt;=$D$14,AY39&lt;=$D$13),AW15,"no")</f>
        <v>no</v>
      </c>
      <c r="AX42" s="122"/>
      <c r="AY42" s="157"/>
      <c r="AZ42" s="122" t="str">
        <f>IF(AND(BB39&gt;=$D$14,BB39&lt;=$D$13),AZ15,"no")</f>
        <v>no</v>
      </c>
      <c r="BA42" s="122"/>
      <c r="BB42" s="123"/>
      <c r="BC42" s="122" t="str">
        <f>IF(AND(BE39&gt;=$D$14,BE39&lt;=$D$13),BC15,"no")</f>
        <v>no</v>
      </c>
      <c r="BD42" s="122"/>
      <c r="BE42" s="123"/>
      <c r="BF42" s="122" t="str">
        <f>IF(AND(BH39&gt;=$D$14,BH39&lt;=$D$13),BF15,"no")</f>
        <v>no</v>
      </c>
      <c r="BG42" s="122"/>
      <c r="BH42" s="123"/>
      <c r="BI42" s="122" t="str">
        <f>IF(AND(BK39&gt;=$D$14,BK39&lt;=$D$13),BI15,"no")</f>
        <v>MF 6" - 5" Orifice</v>
      </c>
      <c r="BJ42" s="122"/>
      <c r="BK42" s="123"/>
      <c r="BL42" s="122" t="str">
        <f>IF(AND(BN39&gt;=$D$14,BN39&lt;=$D$13),BL15,"no")</f>
        <v>MF 6" - 6"</v>
      </c>
      <c r="BM42" s="122"/>
      <c r="BN42" s="127"/>
      <c r="BO42" s="121" t="str">
        <f>IF(AND(BQ39&gt;=$D$14,BQ39&lt;=$D$13),BO15,"no")</f>
        <v>MF 8" - 5" Orifice</v>
      </c>
      <c r="BP42" s="122"/>
      <c r="BQ42" s="123"/>
      <c r="BR42" s="122" t="str">
        <f>IF(AND(BT39&gt;=$D$14,BT39&lt;=$D$13),BR15,"no")</f>
        <v>MF 8" - 6" Orifice</v>
      </c>
      <c r="BS42" s="122"/>
      <c r="BT42" s="123"/>
      <c r="BU42" s="122" t="str">
        <f>IF(AND(BW39&gt;=$D$14,BW39&lt;=$D$13),BU15,"no")</f>
        <v>MF 8" - 6.5" Orifice</v>
      </c>
      <c r="BV42" s="122"/>
      <c r="BW42" s="123"/>
      <c r="BX42" s="122" t="str">
        <f>IF(AND(BZ39&gt;=$D$14,BZ39&lt;=$D$13),BX15,"no")</f>
        <v>no</v>
      </c>
      <c r="BY42" s="122"/>
      <c r="BZ42" s="123"/>
      <c r="CA42" s="122" t="str">
        <f>IF(AND(CC39&gt;=$D$14,CC39&lt;=$D$13),CA15,"no")</f>
        <v>no</v>
      </c>
      <c r="CB42" s="122"/>
      <c r="CC42" s="127"/>
      <c r="CD42" s="121" t="str">
        <f>IF(AND(CF39&gt;=$D$14,CF39&lt;=$D$13),CD15,"no")</f>
        <v>no</v>
      </c>
      <c r="CE42" s="122"/>
      <c r="CF42" s="123"/>
    </row>
    <row r="43" spans="1:84" ht="15" customHeight="1">
      <c r="A43" s="1"/>
      <c r="B43" s="1"/>
      <c r="C43" s="1"/>
      <c r="D43" s="2"/>
      <c r="E43" s="2"/>
      <c r="F43" s="2"/>
      <c r="G43" s="2"/>
      <c r="H43" s="2"/>
      <c r="I43" s="4"/>
      <c r="J43" s="4"/>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ht="15" customHeight="1">
      <c r="A44" s="1"/>
      <c r="B44" s="1"/>
      <c r="C44" s="1"/>
      <c r="D44" s="2"/>
      <c r="E44" s="2"/>
      <c r="F44" s="2"/>
      <c r="G44" s="2"/>
      <c r="H44" s="2"/>
      <c r="I44" s="4"/>
      <c r="J44" s="4"/>
      <c r="K44" s="4"/>
      <c r="L44" s="95" t="s">
        <v>53</v>
      </c>
      <c r="M44" s="95"/>
      <c r="N44" s="95"/>
      <c r="O44" s="95"/>
      <c r="P44" s="95"/>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ht="15" customHeight="1">
      <c r="A45" s="10"/>
      <c r="B45" s="10"/>
      <c r="C45" s="10"/>
      <c r="D45" s="11"/>
      <c r="E45" s="11"/>
      <c r="F45" s="11"/>
      <c r="G45" s="11"/>
      <c r="H45" s="11"/>
      <c r="I45" s="4"/>
      <c r="J45" s="4"/>
      <c r="K45" s="4"/>
      <c r="L45" s="95" t="s">
        <v>56</v>
      </c>
      <c r="M45" s="95"/>
      <c r="N45" s="95"/>
      <c r="O45" s="95"/>
      <c r="P45" s="95"/>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ht="15" customHeight="1">
      <c r="A46" s="1"/>
      <c r="B46" s="1"/>
      <c r="C46" s="1"/>
      <c r="D46" s="2"/>
      <c r="E46" s="2"/>
      <c r="F46" s="2"/>
      <c r="G46" s="2"/>
      <c r="H46" s="2"/>
      <c r="I46" s="4"/>
      <c r="J46" s="4"/>
      <c r="K46" s="4"/>
      <c r="L46" s="95" t="s">
        <v>133</v>
      </c>
      <c r="M46" s="95"/>
      <c r="N46" s="95"/>
      <c r="O46" s="95"/>
      <c r="P46" s="95"/>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ht="15" customHeight="1">
      <c r="A47" s="1"/>
      <c r="B47" s="1"/>
      <c r="C47" s="1"/>
      <c r="D47" s="2"/>
      <c r="E47" s="2"/>
      <c r="F47" s="2"/>
      <c r="G47" s="2"/>
      <c r="H47" s="2"/>
      <c r="I47" s="4"/>
      <c r="J47" s="4"/>
      <c r="K47" s="4"/>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ht="15" customHeight="1">
      <c r="A48" s="1"/>
      <c r="B48" s="1"/>
      <c r="C48" s="1"/>
      <c r="D48" s="2"/>
      <c r="E48" s="2"/>
      <c r="F48" s="2"/>
      <c r="G48" s="2"/>
      <c r="H48" s="2"/>
      <c r="I48" s="4"/>
      <c r="J48" s="4"/>
      <c r="K48" s="4"/>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ht="15" customHeight="1">
      <c r="A49" s="1"/>
      <c r="B49" s="1"/>
      <c r="C49" s="1"/>
      <c r="D49" s="2"/>
      <c r="E49" s="2"/>
      <c r="F49" s="2"/>
      <c r="G49" s="2"/>
      <c r="H49" s="2"/>
      <c r="I49" s="4"/>
      <c r="J49" s="4"/>
      <c r="K49" s="4"/>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ht="15" customHeight="1">
      <c r="A50" s="1"/>
      <c r="B50" s="1"/>
      <c r="C50" s="1"/>
      <c r="D50" s="2"/>
      <c r="E50" s="2"/>
      <c r="F50" s="2"/>
      <c r="G50" s="2"/>
      <c r="H50" s="2"/>
      <c r="I50" s="4"/>
      <c r="J50" s="4"/>
      <c r="K50" s="4"/>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15" customHeight="1">
      <c r="A51" s="1"/>
      <c r="B51" s="1"/>
      <c r="C51" s="1"/>
      <c r="D51" s="2"/>
      <c r="E51" s="2"/>
      <c r="F51" s="2"/>
      <c r="G51" s="2"/>
      <c r="H51" s="2"/>
      <c r="I51" s="4"/>
      <c r="J51" s="4"/>
      <c r="K51" s="4"/>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1:84" ht="15" customHeight="1">
      <c r="A52" s="1"/>
      <c r="B52" s="1"/>
      <c r="C52" s="1"/>
      <c r="D52" s="2"/>
      <c r="E52" s="2"/>
      <c r="F52" s="2"/>
      <c r="G52" s="2"/>
      <c r="H52" s="2"/>
      <c r="I52" s="4"/>
      <c r="J52" s="4"/>
      <c r="K52" s="4"/>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ht="15" customHeight="1">
      <c r="A53" s="1"/>
      <c r="B53" s="1"/>
      <c r="C53" s="1"/>
      <c r="D53" s="2"/>
      <c r="E53" s="2"/>
      <c r="F53" s="2"/>
      <c r="G53" s="2"/>
      <c r="H53" s="2"/>
      <c r="I53" s="4"/>
      <c r="J53" s="4"/>
      <c r="K53" s="4"/>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15" customHeight="1">
      <c r="A54" s="1"/>
      <c r="B54" s="1"/>
      <c r="C54" s="1"/>
      <c r="D54" s="2"/>
      <c r="E54" s="2"/>
      <c r="F54" s="2"/>
      <c r="G54" s="2"/>
      <c r="H54" s="2"/>
      <c r="I54" s="4"/>
      <c r="J54" s="4"/>
      <c r="K54" s="4"/>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ht="15" customHeight="1">
      <c r="A55" s="1"/>
      <c r="B55" s="1"/>
      <c r="C55" s="1"/>
      <c r="D55" s="2"/>
      <c r="E55" s="2"/>
      <c r="F55" s="2"/>
      <c r="G55" s="2"/>
      <c r="H55" s="2"/>
      <c r="I55" s="4"/>
      <c r="J55" s="4"/>
      <c r="K55" s="4"/>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ht="15" customHeight="1">
      <c r="A56" s="1"/>
      <c r="B56" s="1"/>
      <c r="C56" s="1"/>
      <c r="D56" s="2"/>
      <c r="E56" s="2"/>
      <c r="F56" s="2"/>
      <c r="G56" s="2"/>
      <c r="H56" s="2"/>
      <c r="I56" s="4"/>
      <c r="J56" s="4"/>
      <c r="K56" s="4"/>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15" customHeight="1">
      <c r="A57" s="1"/>
      <c r="B57" s="1"/>
      <c r="C57" s="1"/>
      <c r="D57" s="2"/>
      <c r="E57" s="2"/>
      <c r="F57" s="2"/>
      <c r="G57" s="2"/>
      <c r="H57" s="2"/>
      <c r="I57" s="4"/>
      <c r="J57" s="4"/>
      <c r="K57" s="4"/>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ht="15" customHeight="1">
      <c r="A58" s="1"/>
      <c r="B58" s="1"/>
      <c r="C58" s="1"/>
      <c r="D58" s="2"/>
      <c r="E58" s="2"/>
      <c r="F58" s="2"/>
      <c r="G58" s="2"/>
      <c r="H58" s="2"/>
      <c r="I58" s="4"/>
      <c r="J58" s="4"/>
      <c r="K58" s="4"/>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ht="15" customHeight="1">
      <c r="A59" s="1"/>
      <c r="B59" s="1"/>
      <c r="C59" s="1"/>
      <c r="D59" s="2"/>
      <c r="E59" s="2"/>
      <c r="F59" s="2"/>
      <c r="G59" s="2"/>
      <c r="H59" s="2"/>
      <c r="I59" s="4"/>
      <c r="J59" s="4"/>
      <c r="K59" s="4"/>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ht="15" customHeight="1">
      <c r="A60" s="1"/>
      <c r="B60" s="1"/>
      <c r="C60" s="1"/>
      <c r="D60" s="2"/>
      <c r="E60" s="2"/>
      <c r="F60" s="2"/>
      <c r="G60" s="2"/>
      <c r="H60" s="2"/>
      <c r="I60" s="4"/>
      <c r="J60" s="4"/>
      <c r="K60" s="4"/>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ht="15" customHeight="1">
      <c r="A61" s="1"/>
      <c r="B61" s="1"/>
      <c r="C61" s="1"/>
      <c r="D61" s="2"/>
      <c r="E61" s="2"/>
      <c r="F61" s="2"/>
      <c r="G61" s="2"/>
      <c r="H61" s="2"/>
      <c r="I61" s="4"/>
      <c r="J61" s="4"/>
      <c r="K61" s="4"/>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1:84" ht="15" customHeight="1">
      <c r="A62" s="1"/>
      <c r="B62" s="1"/>
      <c r="C62" s="1"/>
      <c r="D62" s="2"/>
      <c r="E62" s="2"/>
      <c r="F62" s="2"/>
      <c r="G62" s="2"/>
      <c r="H62" s="2"/>
      <c r="I62" s="4"/>
      <c r="J62" s="4"/>
      <c r="K62" s="4"/>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1:84" ht="15" customHeight="1">
      <c r="A63" s="1"/>
      <c r="B63" s="1"/>
      <c r="C63" s="1"/>
      <c r="D63" s="2"/>
      <c r="E63" s="2"/>
      <c r="F63" s="2"/>
      <c r="G63" s="2"/>
      <c r="H63" s="2"/>
      <c r="I63" s="4"/>
      <c r="J63" s="4"/>
      <c r="K63" s="4"/>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1:84" ht="15" customHeight="1">
      <c r="A64" s="1"/>
      <c r="B64" s="1"/>
      <c r="C64" s="1"/>
      <c r="D64" s="2"/>
      <c r="E64" s="2"/>
      <c r="F64" s="2"/>
      <c r="G64" s="2"/>
      <c r="H64" s="2"/>
      <c r="I64" s="4"/>
      <c r="J64" s="4"/>
      <c r="K64" s="4"/>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1:84" ht="15" customHeight="1">
      <c r="A65" s="1"/>
      <c r="B65" s="1"/>
      <c r="C65" s="1"/>
      <c r="D65" s="2"/>
      <c r="E65" s="2"/>
      <c r="F65" s="2"/>
      <c r="G65" s="2"/>
      <c r="H65" s="2"/>
      <c r="I65" s="4"/>
      <c r="J65" s="4"/>
      <c r="K65" s="4"/>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1:84" ht="15" customHeight="1">
      <c r="A66" s="1"/>
      <c r="B66" s="1"/>
      <c r="C66" s="1"/>
      <c r="D66" s="2"/>
      <c r="E66" s="2"/>
      <c r="F66" s="2"/>
      <c r="G66" s="2"/>
      <c r="H66" s="2"/>
      <c r="I66" s="4"/>
      <c r="J66" s="4"/>
      <c r="K66" s="4"/>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1:84" ht="15" customHeight="1">
      <c r="A67" s="1"/>
      <c r="B67" s="1"/>
      <c r="C67" s="1"/>
      <c r="D67" s="2"/>
      <c r="E67" s="2"/>
      <c r="F67" s="2"/>
      <c r="G67" s="2"/>
      <c r="H67" s="2"/>
      <c r="I67" s="4"/>
      <c r="J67" s="4"/>
      <c r="K67" s="4"/>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ht="15" customHeight="1">
      <c r="A68" s="1"/>
      <c r="B68" s="1"/>
      <c r="C68" s="1"/>
      <c r="D68" s="2"/>
      <c r="E68" s="2"/>
      <c r="F68" s="2"/>
      <c r="G68" s="2"/>
      <c r="H68" s="2"/>
      <c r="I68" s="4"/>
      <c r="J68" s="4"/>
      <c r="K68" s="4"/>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ht="15" customHeight="1">
      <c r="A69" s="1"/>
      <c r="B69" s="1"/>
      <c r="C69" s="1"/>
      <c r="D69" s="2"/>
      <c r="E69" s="2"/>
      <c r="F69" s="2"/>
      <c r="G69" s="2"/>
      <c r="H69" s="2"/>
      <c r="I69" s="4"/>
      <c r="J69" s="4"/>
      <c r="K69" s="4"/>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ht="15" customHeight="1">
      <c r="A70" s="1"/>
      <c r="B70" s="1"/>
      <c r="C70" s="1"/>
      <c r="D70" s="2"/>
      <c r="E70" s="2"/>
      <c r="F70" s="2"/>
      <c r="G70" s="2"/>
      <c r="H70" s="2"/>
      <c r="I70" s="4"/>
      <c r="J70" s="4"/>
      <c r="K70" s="4"/>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ht="15" customHeight="1">
      <c r="A71" s="1"/>
      <c r="B71" s="1"/>
      <c r="C71" s="1"/>
      <c r="D71" s="2"/>
      <c r="E71" s="2"/>
      <c r="F71" s="2"/>
      <c r="G71" s="2"/>
      <c r="H71" s="2"/>
      <c r="I71" s="4"/>
      <c r="J71" s="4"/>
      <c r="K71" s="4"/>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ht="15" customHeight="1">
      <c r="A72" s="1"/>
      <c r="B72" s="1"/>
      <c r="C72" s="1"/>
      <c r="D72" s="2"/>
      <c r="E72" s="2"/>
      <c r="F72" s="2"/>
      <c r="G72" s="2"/>
      <c r="H72" s="2"/>
      <c r="I72" s="4"/>
      <c r="J72" s="4"/>
      <c r="K72" s="4"/>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ht="15" customHeight="1">
      <c r="A73" s="1"/>
      <c r="B73" s="1"/>
      <c r="C73" s="1"/>
      <c r="D73" s="2"/>
      <c r="E73" s="2"/>
      <c r="F73" s="2"/>
      <c r="G73" s="2"/>
      <c r="H73" s="2"/>
      <c r="I73" s="4"/>
      <c r="J73" s="4"/>
      <c r="K73" s="4"/>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ht="15" customHeight="1">
      <c r="A74" s="1"/>
      <c r="B74" s="1"/>
      <c r="C74" s="1"/>
      <c r="D74" s="2"/>
      <c r="E74" s="2"/>
      <c r="F74" s="2"/>
      <c r="G74" s="2"/>
      <c r="H74" s="2"/>
      <c r="I74" s="4"/>
      <c r="J74" s="4"/>
      <c r="K74" s="4"/>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ht="15" customHeight="1">
      <c r="A75" s="1"/>
      <c r="B75" s="1"/>
      <c r="C75" s="1"/>
      <c r="D75" s="2"/>
      <c r="E75" s="2"/>
      <c r="F75" s="2"/>
      <c r="G75" s="2"/>
      <c r="H75" s="2"/>
      <c r="I75" s="4"/>
      <c r="J75" s="4"/>
      <c r="K75" s="4"/>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ht="15" customHeight="1">
      <c r="A76" s="1"/>
      <c r="B76" s="1"/>
      <c r="C76" s="1"/>
      <c r="D76" s="2"/>
      <c r="E76" s="2"/>
      <c r="F76" s="2"/>
      <c r="G76" s="2"/>
      <c r="H76" s="2"/>
      <c r="I76" s="4"/>
      <c r="J76" s="4"/>
      <c r="K76" s="4"/>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ht="15" customHeight="1">
      <c r="A77" s="1"/>
      <c r="B77" s="1"/>
      <c r="C77" s="1"/>
      <c r="D77" s="2"/>
      <c r="E77" s="2"/>
      <c r="F77" s="2"/>
      <c r="G77" s="2"/>
      <c r="H77" s="2"/>
      <c r="I77" s="4"/>
      <c r="J77" s="4"/>
      <c r="K77" s="4"/>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ht="15" customHeight="1">
      <c r="A78" s="1"/>
      <c r="B78" s="1"/>
      <c r="C78" s="1"/>
      <c r="D78" s="2"/>
      <c r="E78" s="2"/>
      <c r="F78" s="2"/>
      <c r="G78" s="2"/>
      <c r="H78" s="2"/>
      <c r="I78" s="4"/>
      <c r="J78" s="4"/>
      <c r="K78" s="4"/>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ht="15" customHeight="1">
      <c r="A79" s="1"/>
      <c r="B79" s="1"/>
      <c r="C79" s="1"/>
      <c r="D79" s="2"/>
      <c r="E79" s="2"/>
      <c r="F79" s="2"/>
      <c r="G79" s="2"/>
      <c r="H79" s="2"/>
      <c r="I79" s="4"/>
      <c r="J79" s="4"/>
      <c r="K79" s="4"/>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ht="15" customHeight="1">
      <c r="A80" s="1"/>
      <c r="B80" s="1"/>
      <c r="C80" s="1"/>
      <c r="D80" s="2"/>
      <c r="E80" s="2"/>
      <c r="F80" s="2"/>
      <c r="G80" s="2"/>
      <c r="H80" s="2"/>
      <c r="I80" s="4"/>
      <c r="J80" s="4"/>
      <c r="K80" s="4"/>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ht="15" customHeight="1">
      <c r="A81" s="1"/>
      <c r="B81" s="1"/>
      <c r="C81" s="1"/>
      <c r="D81" s="2"/>
      <c r="E81" s="2"/>
      <c r="F81" s="2"/>
      <c r="G81" s="2"/>
      <c r="H81" s="2"/>
      <c r="I81" s="4"/>
      <c r="J81" s="4"/>
      <c r="K81" s="4"/>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ht="15" customHeight="1">
      <c r="A82" s="1"/>
      <c r="B82" s="1"/>
      <c r="C82" s="1"/>
      <c r="D82" s="2"/>
      <c r="E82" s="2"/>
      <c r="F82" s="2"/>
      <c r="G82" s="2"/>
      <c r="H82" s="2"/>
      <c r="I82" s="4"/>
      <c r="J82" s="4"/>
      <c r="K82" s="4"/>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ht="15" customHeight="1">
      <c r="A83" s="1"/>
      <c r="B83" s="1"/>
      <c r="C83" s="1"/>
      <c r="D83" s="2"/>
      <c r="E83" s="2"/>
      <c r="F83" s="2"/>
      <c r="G83" s="2"/>
      <c r="H83" s="2"/>
      <c r="I83" s="4"/>
      <c r="J83" s="4"/>
      <c r="K83" s="4"/>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ht="15" customHeight="1">
      <c r="A84" s="1"/>
      <c r="B84" s="1"/>
      <c r="C84" s="1"/>
      <c r="D84" s="2"/>
      <c r="E84" s="2"/>
      <c r="F84" s="2"/>
      <c r="G84" s="2"/>
      <c r="H84" s="2"/>
      <c r="I84" s="4"/>
      <c r="J84" s="4"/>
      <c r="K84" s="4"/>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ht="15" customHeight="1">
      <c r="A85" s="1"/>
      <c r="B85" s="1"/>
      <c r="C85" s="1"/>
      <c r="D85" s="2"/>
      <c r="E85" s="2"/>
      <c r="F85" s="2"/>
      <c r="G85" s="2"/>
      <c r="H85" s="2"/>
      <c r="I85" s="4"/>
      <c r="J85" s="4"/>
      <c r="K85" s="4"/>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ht="15" customHeight="1">
      <c r="A86" s="1"/>
      <c r="B86" s="1"/>
      <c r="C86" s="1"/>
      <c r="D86" s="2"/>
      <c r="E86" s="2"/>
      <c r="F86" s="2"/>
      <c r="G86" s="2"/>
      <c r="H86" s="2"/>
      <c r="I86" s="4"/>
      <c r="J86" s="4"/>
      <c r="K86" s="4"/>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ht="15" customHeight="1">
      <c r="A87" s="1"/>
      <c r="B87" s="1"/>
      <c r="C87" s="1"/>
      <c r="D87" s="2"/>
      <c r="E87" s="2"/>
      <c r="F87" s="2"/>
      <c r="G87" s="2"/>
      <c r="H87" s="2"/>
      <c r="I87" s="4"/>
      <c r="J87" s="4"/>
      <c r="K87" s="4"/>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ht="15" customHeight="1">
      <c r="A88" s="1"/>
      <c r="B88" s="1"/>
      <c r="C88" s="1"/>
      <c r="D88" s="2"/>
      <c r="E88" s="2"/>
      <c r="F88" s="2"/>
      <c r="G88" s="2"/>
      <c r="H88" s="2"/>
      <c r="I88" s="4"/>
      <c r="J88" s="4"/>
      <c r="K88" s="4"/>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ht="15" customHeight="1">
      <c r="A89" s="1"/>
      <c r="B89" s="1"/>
      <c r="C89" s="1"/>
      <c r="D89" s="2"/>
      <c r="E89" s="2"/>
      <c r="F89" s="2"/>
      <c r="G89" s="2"/>
      <c r="H89" s="2"/>
      <c r="I89" s="4"/>
      <c r="J89" s="4"/>
      <c r="K89" s="4"/>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ht="15" customHeight="1">
      <c r="A90" s="1"/>
      <c r="B90" s="1"/>
      <c r="C90" s="1"/>
      <c r="D90" s="2"/>
      <c r="E90" s="2"/>
      <c r="F90" s="2"/>
      <c r="G90" s="2"/>
      <c r="H90" s="2"/>
      <c r="I90" s="4"/>
      <c r="J90" s="4"/>
      <c r="K90" s="4"/>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ht="15" customHeight="1">
      <c r="A91" s="1"/>
      <c r="B91" s="1"/>
      <c r="C91" s="1"/>
      <c r="D91" s="2"/>
      <c r="E91" s="2"/>
      <c r="F91" s="2"/>
      <c r="G91" s="2"/>
      <c r="H91" s="2"/>
      <c r="I91" s="4"/>
      <c r="J91" s="4"/>
      <c r="K91" s="4"/>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ht="15" customHeight="1">
      <c r="A92" s="1"/>
      <c r="B92" s="1"/>
      <c r="C92" s="1"/>
      <c r="D92" s="2"/>
      <c r="E92" s="2"/>
      <c r="F92" s="2"/>
      <c r="G92" s="2"/>
      <c r="H92" s="2"/>
      <c r="I92" s="4"/>
      <c r="J92" s="4"/>
      <c r="K92" s="4"/>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ht="15" customHeight="1">
      <c r="A93" s="1"/>
      <c r="B93" s="1"/>
      <c r="C93" s="1"/>
      <c r="D93" s="2"/>
      <c r="E93" s="2"/>
      <c r="F93" s="2"/>
      <c r="G93" s="2"/>
      <c r="H93" s="2"/>
      <c r="I93" s="4"/>
      <c r="J93" s="4"/>
      <c r="K93" s="4"/>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ht="15" customHeight="1">
      <c r="A94" s="1"/>
      <c r="B94" s="1"/>
      <c r="C94" s="1"/>
      <c r="D94" s="2"/>
      <c r="E94" s="2"/>
      <c r="F94" s="2"/>
      <c r="G94" s="2"/>
      <c r="H94" s="2"/>
      <c r="I94" s="4"/>
      <c r="J94" s="4"/>
      <c r="K94" s="4"/>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ht="15" customHeight="1">
      <c r="A95" s="1"/>
      <c r="B95" s="1"/>
      <c r="C95" s="1"/>
      <c r="D95" s="2"/>
      <c r="E95" s="2"/>
      <c r="F95" s="2"/>
      <c r="G95" s="2"/>
      <c r="H95" s="2"/>
      <c r="I95" s="4"/>
      <c r="J95" s="4"/>
      <c r="K95" s="4"/>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ht="15" customHeight="1">
      <c r="A96" s="1"/>
      <c r="B96" s="1"/>
      <c r="C96" s="1"/>
      <c r="D96" s="2"/>
      <c r="E96" s="2"/>
      <c r="F96" s="2"/>
      <c r="G96" s="2"/>
      <c r="H96" s="2"/>
      <c r="I96" s="4"/>
      <c r="J96" s="4"/>
      <c r="K96" s="4"/>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ht="15" customHeight="1">
      <c r="A97" s="1"/>
      <c r="B97" s="1"/>
      <c r="C97" s="1"/>
      <c r="D97" s="2"/>
      <c r="E97" s="2"/>
      <c r="F97" s="2"/>
      <c r="G97" s="2"/>
      <c r="H97" s="2"/>
      <c r="I97" s="4"/>
      <c r="J97" s="4"/>
      <c r="K97" s="4"/>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ht="15" customHeight="1">
      <c r="A98" s="1"/>
      <c r="B98" s="1"/>
      <c r="C98" s="1"/>
      <c r="D98" s="2"/>
      <c r="E98" s="2"/>
      <c r="F98" s="2"/>
      <c r="G98" s="2"/>
      <c r="H98" s="2"/>
      <c r="I98" s="4"/>
      <c r="J98" s="4"/>
      <c r="K98" s="4"/>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ht="15" customHeight="1">
      <c r="A99" s="1"/>
      <c r="B99" s="1"/>
      <c r="C99" s="1"/>
      <c r="D99" s="2"/>
      <c r="E99" s="2"/>
      <c r="F99" s="2"/>
      <c r="G99" s="2"/>
      <c r="H99" s="2"/>
      <c r="I99" s="4"/>
      <c r="J99" s="4"/>
      <c r="K99" s="4"/>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ht="15" customHeight="1">
      <c r="A100" s="1"/>
      <c r="B100" s="1"/>
      <c r="C100" s="1"/>
      <c r="D100" s="2"/>
      <c r="E100" s="2"/>
      <c r="F100" s="2"/>
      <c r="G100" s="2"/>
      <c r="H100" s="2"/>
      <c r="I100" s="4"/>
      <c r="J100" s="4"/>
      <c r="K100" s="4"/>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ht="15" customHeight="1">
      <c r="A101" s="1"/>
      <c r="B101" s="1"/>
      <c r="C101" s="1"/>
      <c r="D101" s="2"/>
      <c r="E101" s="2"/>
      <c r="F101" s="2"/>
      <c r="G101" s="2"/>
      <c r="H101" s="2"/>
      <c r="I101" s="4"/>
      <c r="J101" s="4"/>
      <c r="K101" s="4"/>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ht="15" customHeight="1">
      <c r="A102" s="1"/>
      <c r="B102" s="1"/>
      <c r="C102" s="1"/>
      <c r="D102" s="2"/>
      <c r="E102" s="2"/>
      <c r="F102" s="2"/>
      <c r="G102" s="2"/>
      <c r="H102" s="2"/>
      <c r="I102" s="4"/>
      <c r="J102" s="4"/>
      <c r="K102" s="4"/>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ht="15" customHeight="1">
      <c r="A103" s="1"/>
      <c r="B103" s="1"/>
      <c r="C103" s="1"/>
      <c r="D103" s="2"/>
      <c r="E103" s="2"/>
      <c r="F103" s="2"/>
      <c r="G103" s="2"/>
      <c r="H103" s="2"/>
      <c r="I103" s="4"/>
      <c r="J103" s="4"/>
      <c r="K103" s="4"/>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ht="15" customHeight="1">
      <c r="A104" s="1"/>
      <c r="B104" s="1"/>
      <c r="C104" s="1"/>
      <c r="D104" s="2"/>
      <c r="E104" s="2"/>
      <c r="F104" s="2"/>
      <c r="G104" s="2"/>
      <c r="H104" s="2"/>
      <c r="I104" s="4"/>
      <c r="J104" s="4"/>
      <c r="K104" s="4"/>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ht="15" customHeight="1">
      <c r="A105" s="1"/>
      <c r="B105" s="1"/>
      <c r="C105" s="1"/>
      <c r="D105" s="2"/>
      <c r="E105" s="2"/>
      <c r="F105" s="2"/>
      <c r="G105" s="2"/>
      <c r="H105" s="2"/>
      <c r="I105" s="4"/>
      <c r="J105" s="4"/>
      <c r="K105" s="4"/>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ht="15" customHeight="1">
      <c r="A106" s="1"/>
      <c r="B106" s="1"/>
      <c r="C106" s="1"/>
      <c r="D106" s="2"/>
      <c r="E106" s="2"/>
      <c r="F106" s="2"/>
      <c r="G106" s="2"/>
      <c r="H106" s="2"/>
      <c r="I106" s="4"/>
      <c r="J106" s="4"/>
      <c r="K106" s="4"/>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ht="15" customHeight="1">
      <c r="A107" s="1"/>
      <c r="B107" s="1"/>
      <c r="C107" s="1"/>
      <c r="D107" s="2"/>
      <c r="E107" s="2"/>
      <c r="F107" s="2"/>
      <c r="G107" s="2"/>
      <c r="H107" s="2"/>
      <c r="I107" s="4"/>
      <c r="J107" s="4"/>
      <c r="K107" s="4"/>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ht="15" customHeight="1">
      <c r="A108" s="1"/>
      <c r="B108" s="1"/>
      <c r="C108" s="1"/>
      <c r="D108" s="2"/>
      <c r="E108" s="2"/>
      <c r="F108" s="2"/>
      <c r="G108" s="2"/>
      <c r="H108" s="2"/>
      <c r="I108" s="4"/>
      <c r="J108" s="4"/>
      <c r="K108" s="4"/>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ht="15" customHeight="1">
      <c r="A109" s="1"/>
      <c r="B109" s="1"/>
      <c r="C109" s="1"/>
      <c r="D109" s="2"/>
      <c r="E109" s="2"/>
      <c r="F109" s="2"/>
      <c r="G109" s="2"/>
      <c r="H109" s="2"/>
      <c r="I109" s="4"/>
      <c r="J109" s="4"/>
      <c r="K109" s="4"/>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ht="15" customHeight="1">
      <c r="A110" s="1"/>
      <c r="B110" s="1"/>
      <c r="C110" s="1"/>
      <c r="D110" s="2"/>
      <c r="E110" s="2"/>
      <c r="F110" s="2"/>
      <c r="G110" s="2"/>
      <c r="H110" s="2"/>
      <c r="I110" s="4"/>
      <c r="J110" s="4"/>
      <c r="K110" s="4"/>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ht="15" customHeight="1">
      <c r="A111" s="1"/>
      <c r="B111" s="1"/>
      <c r="C111" s="1"/>
      <c r="D111" s="2"/>
      <c r="E111" s="2"/>
      <c r="F111" s="2"/>
      <c r="G111" s="2"/>
      <c r="H111" s="2"/>
      <c r="I111" s="4"/>
      <c r="J111" s="4"/>
      <c r="K111" s="4"/>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ht="15" customHeight="1">
      <c r="A112" s="1"/>
      <c r="B112" s="1"/>
      <c r="C112" s="1"/>
      <c r="D112" s="2"/>
      <c r="E112" s="2"/>
      <c r="F112" s="2"/>
      <c r="G112" s="2"/>
      <c r="H112" s="2"/>
      <c r="I112" s="4"/>
      <c r="J112" s="4"/>
      <c r="K112" s="4"/>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ht="15" customHeight="1">
      <c r="A113" s="1"/>
      <c r="B113" s="1"/>
      <c r="C113" s="1"/>
      <c r="D113" s="2"/>
      <c r="E113" s="2"/>
      <c r="F113" s="2"/>
      <c r="G113" s="2"/>
      <c r="H113" s="2"/>
      <c r="I113" s="4"/>
      <c r="J113" s="4"/>
      <c r="K113" s="4"/>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ht="15" customHeight="1">
      <c r="A114" s="1"/>
      <c r="B114" s="1"/>
      <c r="C114" s="1"/>
      <c r="D114" s="2"/>
      <c r="E114" s="2"/>
      <c r="F114" s="2"/>
      <c r="G114" s="2"/>
      <c r="H114" s="2"/>
      <c r="I114" s="4"/>
      <c r="J114" s="4"/>
      <c r="K114" s="4"/>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ht="15" customHeight="1">
      <c r="G115" s="1"/>
      <c r="H115" s="1"/>
      <c r="I115" s="1"/>
      <c r="J115" s="1"/>
      <c r="K115" s="1"/>
      <c r="L115" s="1"/>
      <c r="M115" s="1"/>
      <c r="N115" s="1"/>
      <c r="O115" s="1"/>
      <c r="P115" s="1"/>
      <c r="Q115" s="1"/>
      <c r="R115" s="1"/>
      <c r="S115" s="1"/>
      <c r="T115" s="1"/>
      <c r="U115" s="1"/>
      <c r="V115" s="1"/>
      <c r="W115" s="1"/>
    </row>
    <row r="116" spans="1:84" ht="15" customHeight="1">
      <c r="G116" s="1"/>
      <c r="H116" s="1"/>
      <c r="I116" s="1"/>
      <c r="J116" s="1"/>
      <c r="K116" s="1"/>
      <c r="L116" s="1"/>
      <c r="M116" s="1"/>
      <c r="N116" s="1"/>
      <c r="O116" s="1"/>
      <c r="P116" s="1"/>
      <c r="Q116" s="1"/>
      <c r="R116" s="1"/>
      <c r="S116" s="1"/>
      <c r="T116" s="1"/>
      <c r="U116" s="1"/>
      <c r="V116" s="1"/>
      <c r="W116" s="1"/>
    </row>
    <row r="117" spans="1:84" ht="15" customHeight="1">
      <c r="G117" s="1"/>
      <c r="H117" s="1"/>
      <c r="I117" s="1"/>
      <c r="J117" s="1"/>
      <c r="K117" s="1"/>
      <c r="L117" s="1"/>
      <c r="M117" s="1"/>
      <c r="N117" s="1"/>
      <c r="O117" s="1"/>
      <c r="P117" s="1"/>
      <c r="Q117" s="1"/>
      <c r="R117" s="1"/>
      <c r="S117" s="1"/>
      <c r="T117" s="1"/>
      <c r="U117" s="1"/>
      <c r="V117" s="1"/>
      <c r="W117" s="1"/>
    </row>
    <row r="118" spans="1:84" ht="15" customHeight="1">
      <c r="G118" s="1"/>
      <c r="H118" s="1"/>
      <c r="I118" s="1"/>
      <c r="J118" s="1"/>
      <c r="K118" s="1"/>
      <c r="L118" s="1"/>
      <c r="M118" s="1"/>
      <c r="N118" s="1"/>
      <c r="O118" s="1"/>
      <c r="P118" s="1"/>
      <c r="Q118" s="1"/>
      <c r="R118" s="1"/>
      <c r="S118" s="1"/>
      <c r="T118" s="1"/>
      <c r="U118" s="1"/>
      <c r="V118" s="1"/>
      <c r="W118" s="1"/>
    </row>
    <row r="119" spans="1:84" ht="15" customHeight="1">
      <c r="G119" s="1"/>
      <c r="H119" s="1"/>
      <c r="I119" s="1"/>
      <c r="J119" s="1"/>
      <c r="K119" s="1"/>
      <c r="L119" s="1"/>
      <c r="M119" s="1"/>
      <c r="N119" s="1"/>
      <c r="O119" s="1"/>
      <c r="P119" s="1"/>
      <c r="Q119" s="1"/>
      <c r="R119" s="1"/>
      <c r="S119" s="1"/>
      <c r="T119" s="1"/>
      <c r="U119" s="1"/>
      <c r="V119" s="1"/>
      <c r="W119" s="1"/>
    </row>
    <row r="120" spans="1:84">
      <c r="G120" s="1"/>
      <c r="H120" s="1"/>
      <c r="I120" s="1"/>
      <c r="J120" s="1"/>
      <c r="K120" s="1"/>
      <c r="L120" s="1"/>
      <c r="M120" s="1"/>
      <c r="N120" s="1"/>
      <c r="O120" s="1"/>
      <c r="P120" s="1"/>
      <c r="Q120" s="1"/>
      <c r="R120" s="1"/>
      <c r="S120" s="1"/>
      <c r="T120" s="1"/>
      <c r="U120" s="1"/>
      <c r="V120" s="1"/>
      <c r="W120" s="1"/>
    </row>
    <row r="121" spans="1:84">
      <c r="G121" s="1"/>
      <c r="H121" s="1"/>
      <c r="I121" s="1"/>
      <c r="J121" s="1"/>
      <c r="K121" s="1"/>
      <c r="L121" s="1"/>
      <c r="M121" s="1"/>
      <c r="N121" s="1"/>
      <c r="O121" s="1"/>
      <c r="P121" s="1"/>
      <c r="Q121" s="1"/>
      <c r="R121" s="1"/>
      <c r="S121" s="1"/>
      <c r="T121" s="1"/>
      <c r="U121" s="1"/>
      <c r="V121" s="1"/>
      <c r="W121" s="1"/>
    </row>
    <row r="122" spans="1:84">
      <c r="G122" s="1"/>
      <c r="H122" s="1"/>
      <c r="I122" s="1"/>
      <c r="J122" s="1"/>
      <c r="K122" s="1"/>
      <c r="L122" s="1"/>
      <c r="M122" s="1"/>
      <c r="N122" s="1"/>
      <c r="O122" s="1"/>
      <c r="P122" s="1"/>
      <c r="Q122" s="1"/>
      <c r="R122" s="1"/>
      <c r="S122" s="1"/>
      <c r="T122" s="1"/>
      <c r="U122" s="1"/>
      <c r="V122" s="1"/>
      <c r="W122" s="1"/>
    </row>
    <row r="123" spans="1:84">
      <c r="G123" s="1"/>
      <c r="H123" s="1"/>
      <c r="I123" s="1"/>
      <c r="J123" s="1"/>
      <c r="K123" s="1"/>
      <c r="L123" s="1"/>
      <c r="M123" s="1"/>
      <c r="N123" s="1"/>
      <c r="O123" s="1"/>
      <c r="P123" s="1"/>
      <c r="Q123" s="1"/>
      <c r="R123" s="1"/>
      <c r="S123" s="1"/>
      <c r="T123" s="1"/>
      <c r="U123" s="1"/>
      <c r="V123" s="1"/>
      <c r="W123" s="1"/>
    </row>
    <row r="124" spans="1:84">
      <c r="G124" s="1"/>
      <c r="H124" s="1"/>
      <c r="I124" s="1"/>
      <c r="J124" s="1"/>
      <c r="K124" s="1"/>
      <c r="L124" s="1"/>
      <c r="M124" s="1"/>
      <c r="N124" s="1"/>
      <c r="O124" s="1"/>
      <c r="P124" s="1"/>
      <c r="Q124" s="1"/>
      <c r="R124" s="1"/>
      <c r="S124" s="1"/>
      <c r="T124" s="1"/>
      <c r="U124" s="1"/>
      <c r="V124" s="1"/>
      <c r="W124" s="1"/>
    </row>
    <row r="125" spans="1:84">
      <c r="G125" s="1"/>
      <c r="H125" s="1"/>
      <c r="I125" s="1"/>
      <c r="J125" s="1"/>
      <c r="K125" s="1"/>
      <c r="L125" s="1"/>
      <c r="M125" s="1"/>
      <c r="N125" s="1"/>
      <c r="O125" s="1"/>
      <c r="P125" s="1"/>
      <c r="Q125" s="1"/>
      <c r="R125" s="1"/>
      <c r="S125" s="1"/>
      <c r="T125" s="1"/>
      <c r="U125" s="1"/>
      <c r="V125" s="1"/>
      <c r="W125" s="1"/>
    </row>
    <row r="126" spans="1:84">
      <c r="G126" s="1"/>
      <c r="H126" s="1"/>
      <c r="I126" s="1"/>
      <c r="J126" s="1"/>
      <c r="K126" s="1"/>
      <c r="L126" s="1"/>
      <c r="M126" s="1"/>
      <c r="N126" s="1"/>
      <c r="O126" s="1"/>
      <c r="P126" s="1"/>
      <c r="Q126" s="1"/>
      <c r="R126" s="1"/>
      <c r="S126" s="1"/>
      <c r="T126" s="1"/>
      <c r="U126" s="1"/>
      <c r="V126" s="1"/>
      <c r="W126" s="1"/>
    </row>
    <row r="127" spans="1:84">
      <c r="G127" s="1"/>
      <c r="H127" s="1"/>
      <c r="I127" s="1"/>
      <c r="J127" s="1"/>
      <c r="K127" s="1"/>
      <c r="L127" s="1"/>
      <c r="M127" s="1"/>
      <c r="N127" s="1"/>
      <c r="O127" s="1"/>
      <c r="P127" s="1"/>
      <c r="Q127" s="1"/>
      <c r="R127" s="1"/>
      <c r="S127" s="1"/>
      <c r="T127" s="1"/>
      <c r="U127" s="1"/>
      <c r="V127" s="1"/>
      <c r="W127" s="1"/>
    </row>
    <row r="128" spans="1:84">
      <c r="G128" s="1"/>
      <c r="H128" s="1"/>
      <c r="I128" s="1"/>
      <c r="J128" s="1"/>
      <c r="K128" s="1"/>
      <c r="L128" s="1"/>
      <c r="M128" s="1"/>
      <c r="N128" s="1"/>
      <c r="O128" s="1"/>
      <c r="P128" s="1"/>
      <c r="Q128" s="1"/>
      <c r="R128" s="1"/>
      <c r="S128" s="1"/>
      <c r="T128" s="1"/>
    </row>
    <row r="129" spans="7:20">
      <c r="G129" s="1"/>
      <c r="H129" s="1"/>
      <c r="I129" s="1"/>
      <c r="J129" s="1"/>
      <c r="K129" s="1"/>
      <c r="L129" s="1"/>
      <c r="M129" s="1"/>
      <c r="N129" s="1"/>
      <c r="O129" s="1"/>
      <c r="P129" s="1"/>
      <c r="Q129" s="1"/>
      <c r="R129" s="1"/>
      <c r="S129" s="1"/>
      <c r="T129" s="1"/>
    </row>
    <row r="130" spans="7:20">
      <c r="G130" s="1"/>
      <c r="H130" s="1"/>
      <c r="I130" s="1"/>
      <c r="J130" s="1"/>
      <c r="K130" s="1"/>
      <c r="L130" s="1"/>
      <c r="M130" s="1"/>
      <c r="N130" s="1"/>
      <c r="O130" s="1"/>
      <c r="P130" s="1"/>
      <c r="Q130" s="1"/>
      <c r="R130" s="1"/>
      <c r="S130" s="1"/>
      <c r="T130" s="1"/>
    </row>
    <row r="131" spans="7:20">
      <c r="G131" s="1"/>
      <c r="H131" s="1"/>
      <c r="I131" s="1"/>
      <c r="J131" s="1"/>
      <c r="K131" s="1"/>
      <c r="L131" s="1"/>
      <c r="M131" s="1"/>
      <c r="N131" s="1"/>
      <c r="O131" s="1"/>
      <c r="P131" s="1"/>
      <c r="Q131" s="1"/>
      <c r="R131" s="1"/>
      <c r="S131" s="1"/>
      <c r="T131" s="1"/>
    </row>
    <row r="132" spans="7:20">
      <c r="L132" s="1"/>
      <c r="M132" s="1"/>
      <c r="N132" s="1"/>
    </row>
    <row r="133" spans="7:20">
      <c r="L133" s="1"/>
      <c r="M133" s="1"/>
      <c r="N133" s="1"/>
    </row>
    <row r="134" spans="7:20">
      <c r="L134" s="1"/>
      <c r="M134" s="1"/>
      <c r="N134" s="1"/>
    </row>
    <row r="135" spans="7:20">
      <c r="L135" s="1"/>
      <c r="M135" s="1"/>
      <c r="N135" s="1"/>
    </row>
  </sheetData>
  <sheetProtection algorithmName="SHA-512" hashValue="t0E2GingFltDH6x9NXb/S/y7L90qqez7X9g1+B78ZGcclJO7GxOAcqhzIM9vDMwXUN2wxtZmyDtnZf9LSdaNSg==" saltValue="JUt0zd5g7IbFm66RTxOBnQ==" spinCount="100000" sheet="1" objects="1" scenarios="1"/>
  <mergeCells count="140">
    <mergeCell ref="AN18:AP19"/>
    <mergeCell ref="AT18:AV19"/>
    <mergeCell ref="AW18:AY19"/>
    <mergeCell ref="AN42:AP42"/>
    <mergeCell ref="AT42:AV42"/>
    <mergeCell ref="AW42:AY42"/>
    <mergeCell ref="AQ42:AS42"/>
    <mergeCell ref="AH15:AJ16"/>
    <mergeCell ref="AE17:AG17"/>
    <mergeCell ref="AK15:AM16"/>
    <mergeCell ref="AK17:AM17"/>
    <mergeCell ref="AK18:AM19"/>
    <mergeCell ref="AH17:AJ17"/>
    <mergeCell ref="AE18:AG19"/>
    <mergeCell ref="AH18:AJ19"/>
    <mergeCell ref="J7:M7"/>
    <mergeCell ref="J8:M8"/>
    <mergeCell ref="J9:M9"/>
    <mergeCell ref="O7:U7"/>
    <mergeCell ref="O8:U8"/>
    <mergeCell ref="J13:BH13"/>
    <mergeCell ref="N9:O9"/>
    <mergeCell ref="J10:U10"/>
    <mergeCell ref="AZ18:BB19"/>
    <mergeCell ref="BC17:BE17"/>
    <mergeCell ref="BC18:BE19"/>
    <mergeCell ref="V15:X16"/>
    <mergeCell ref="Y15:AA16"/>
    <mergeCell ref="V17:X17"/>
    <mergeCell ref="S15:U16"/>
    <mergeCell ref="S17:U17"/>
    <mergeCell ref="D8:H8"/>
    <mergeCell ref="D5:H5"/>
    <mergeCell ref="A6:C6"/>
    <mergeCell ref="A7:C7"/>
    <mergeCell ref="A8:C8"/>
    <mergeCell ref="A17:C17"/>
    <mergeCell ref="E13:H13"/>
    <mergeCell ref="E15:H15"/>
    <mergeCell ref="E16:H16"/>
    <mergeCell ref="A14:C14"/>
    <mergeCell ref="E14:H14"/>
    <mergeCell ref="A9:C9"/>
    <mergeCell ref="D9:H9"/>
    <mergeCell ref="A5:C5"/>
    <mergeCell ref="A3:U3"/>
    <mergeCell ref="Y42:AA42"/>
    <mergeCell ref="S18:U19"/>
    <mergeCell ref="E18:I19"/>
    <mergeCell ref="AB18:AD19"/>
    <mergeCell ref="J12:BH12"/>
    <mergeCell ref="V18:X19"/>
    <mergeCell ref="BF17:BH17"/>
    <mergeCell ref="Y17:AA17"/>
    <mergeCell ref="AZ15:BB16"/>
    <mergeCell ref="AZ17:BB17"/>
    <mergeCell ref="AB15:AD16"/>
    <mergeCell ref="AB17:AD17"/>
    <mergeCell ref="BC15:BE16"/>
    <mergeCell ref="AQ15:AS16"/>
    <mergeCell ref="AQ17:AS17"/>
    <mergeCell ref="AQ18:AS19"/>
    <mergeCell ref="AN15:AP16"/>
    <mergeCell ref="AT15:AV16"/>
    <mergeCell ref="AW15:AY16"/>
    <mergeCell ref="AN17:AP17"/>
    <mergeCell ref="AT17:AV17"/>
    <mergeCell ref="AW17:AY17"/>
    <mergeCell ref="AE15:AG16"/>
    <mergeCell ref="BF42:BH42"/>
    <mergeCell ref="A42:C42"/>
    <mergeCell ref="D42:I42"/>
    <mergeCell ref="S42:U42"/>
    <mergeCell ref="J42:L42"/>
    <mergeCell ref="M42:O42"/>
    <mergeCell ref="P42:R42"/>
    <mergeCell ref="V42:X42"/>
    <mergeCell ref="AB42:AD42"/>
    <mergeCell ref="AZ42:BB42"/>
    <mergeCell ref="BC42:BE42"/>
    <mergeCell ref="AE42:AG42"/>
    <mergeCell ref="AH42:AJ42"/>
    <mergeCell ref="AK42:AM42"/>
    <mergeCell ref="BF15:BH16"/>
    <mergeCell ref="BF18:BH19"/>
    <mergeCell ref="Y18:AA19"/>
    <mergeCell ref="O6:U6"/>
    <mergeCell ref="J6:M6"/>
    <mergeCell ref="A12:D12"/>
    <mergeCell ref="E12:I12"/>
    <mergeCell ref="E17:H17"/>
    <mergeCell ref="A13:C13"/>
    <mergeCell ref="A15:C15"/>
    <mergeCell ref="A16:C16"/>
    <mergeCell ref="J15:L16"/>
    <mergeCell ref="M15:O16"/>
    <mergeCell ref="M17:O17"/>
    <mergeCell ref="M18:O19"/>
    <mergeCell ref="P15:R16"/>
    <mergeCell ref="P17:R17"/>
    <mergeCell ref="P18:R19"/>
    <mergeCell ref="J18:L19"/>
    <mergeCell ref="J17:L17"/>
    <mergeCell ref="A18:C18"/>
    <mergeCell ref="A19:C19"/>
    <mergeCell ref="D6:H6"/>
    <mergeCell ref="D7:H7"/>
    <mergeCell ref="BI17:BK17"/>
    <mergeCell ref="BI18:BK19"/>
    <mergeCell ref="BI42:BK42"/>
    <mergeCell ref="BL15:BN16"/>
    <mergeCell ref="BL17:BN17"/>
    <mergeCell ref="BL18:BN19"/>
    <mergeCell ref="BL42:BN42"/>
    <mergeCell ref="BO15:BQ16"/>
    <mergeCell ref="BO18:BQ19"/>
    <mergeCell ref="A1:XFD1"/>
    <mergeCell ref="CD15:CF16"/>
    <mergeCell ref="CD17:CF17"/>
    <mergeCell ref="CD18:CF19"/>
    <mergeCell ref="CD42:CF42"/>
    <mergeCell ref="BR18:BT19"/>
    <mergeCell ref="BU18:BW19"/>
    <mergeCell ref="BX18:BZ19"/>
    <mergeCell ref="CA18:CC19"/>
    <mergeCell ref="BO42:BQ42"/>
    <mergeCell ref="BR42:BT42"/>
    <mergeCell ref="BU42:BW42"/>
    <mergeCell ref="BX42:BZ42"/>
    <mergeCell ref="CA42:CC42"/>
    <mergeCell ref="BR15:BT16"/>
    <mergeCell ref="BU15:BW16"/>
    <mergeCell ref="BX15:BZ16"/>
    <mergeCell ref="CA15:CC16"/>
    <mergeCell ref="BO17:BQ17"/>
    <mergeCell ref="BR17:BT17"/>
    <mergeCell ref="BU17:BW17"/>
    <mergeCell ref="BX17:BZ17"/>
    <mergeCell ref="CA17:CC17"/>
    <mergeCell ref="BI15:BK16"/>
  </mergeCells>
  <printOptions horizontalCentered="1"/>
  <pageMargins left="0.7" right="0.7" top="0.75" bottom="0.75" header="0.3" footer="0.3"/>
  <pageSetup scale="23" orientation="landscape" r:id="rId1"/>
  <headerFooter>
    <oddHeader>&amp;C&amp;G</oddHeader>
    <oddFooter>&amp;C
803 Roper Creek Drive
Greenville, SC 89615
www.swfeesaver.com</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68"/>
  <sheetViews>
    <sheetView tabSelected="1" view="pageLayout" zoomScale="149" zoomScaleNormal="80" zoomScalePageLayoutView="149" workbookViewId="0">
      <selection activeCell="D3" sqref="D3"/>
    </sheetView>
  </sheetViews>
  <sheetFormatPr baseColWidth="10" defaultColWidth="8.83203125" defaultRowHeight="15"/>
  <cols>
    <col min="1" max="1" width="5.6640625" customWidth="1"/>
    <col min="4" max="4" width="12" customWidth="1"/>
    <col min="5" max="5" width="8.83203125" customWidth="1"/>
    <col min="6" max="6" width="11.33203125" customWidth="1"/>
    <col min="7" max="7" width="20" customWidth="1"/>
    <col min="8" max="8" width="5" customWidth="1"/>
    <col min="9" max="9" width="4.33203125" customWidth="1"/>
    <col min="10" max="10" width="11.33203125" customWidth="1"/>
    <col min="11" max="11" width="3.83203125" bestFit="1" customWidth="1"/>
    <col min="12" max="12" width="3.6640625" bestFit="1" customWidth="1"/>
    <col min="13" max="13" width="1.83203125" customWidth="1"/>
    <col min="17" max="17" width="5" customWidth="1"/>
    <col min="18" max="18" width="8" customWidth="1"/>
  </cols>
  <sheetData>
    <row r="1" spans="2:18" s="105" customFormat="1" ht="82" customHeight="1"/>
    <row r="3" spans="2:18" ht="21.75" customHeight="1">
      <c r="B3" s="12"/>
      <c r="D3" s="104" t="s">
        <v>128</v>
      </c>
    </row>
    <row r="4" spans="2:18" ht="19">
      <c r="F4" s="12"/>
    </row>
    <row r="5" spans="2:18" ht="16">
      <c r="B5" s="206" t="s">
        <v>37</v>
      </c>
      <c r="C5" s="207"/>
      <c r="D5" s="207"/>
      <c r="E5" s="208">
        <f>'Sizing Calcs'!$D$5</f>
        <v>0</v>
      </c>
      <c r="F5" s="208"/>
      <c r="G5" s="208"/>
      <c r="H5" s="208"/>
      <c r="I5" s="208"/>
    </row>
    <row r="6" spans="2:18" ht="19">
      <c r="B6" s="206" t="s">
        <v>33</v>
      </c>
      <c r="C6" s="207"/>
      <c r="D6" s="207"/>
      <c r="E6" s="211">
        <f>'Sizing Calcs'!$D$8</f>
        <v>0</v>
      </c>
      <c r="F6" s="211"/>
      <c r="G6" s="211"/>
      <c r="H6" s="211"/>
      <c r="I6" s="211"/>
      <c r="K6" s="222"/>
      <c r="L6" s="223"/>
      <c r="M6" s="223"/>
      <c r="N6" s="220"/>
      <c r="O6" s="221"/>
      <c r="P6" s="221"/>
      <c r="Q6" s="221"/>
      <c r="R6" s="221"/>
    </row>
    <row r="7" spans="2:18" ht="19">
      <c r="B7" s="206" t="s">
        <v>32</v>
      </c>
      <c r="C7" s="207"/>
      <c r="D7" s="207"/>
      <c r="E7" s="211">
        <f>'Sizing Calcs'!$D$9</f>
        <v>0</v>
      </c>
      <c r="F7" s="211"/>
      <c r="G7" s="211"/>
      <c r="H7" s="211"/>
      <c r="I7" s="211"/>
      <c r="K7" s="222"/>
      <c r="L7" s="223"/>
      <c r="M7" s="223"/>
      <c r="N7" s="220"/>
      <c r="O7" s="221"/>
      <c r="P7" s="221"/>
      <c r="Q7" s="221"/>
      <c r="R7" s="221"/>
    </row>
    <row r="8" spans="2:18" ht="19">
      <c r="B8" s="206" t="s">
        <v>30</v>
      </c>
      <c r="C8" s="207"/>
      <c r="D8" s="207"/>
      <c r="E8" s="211">
        <f>'Sizing Calcs'!$D$6</f>
        <v>0</v>
      </c>
      <c r="F8" s="211"/>
      <c r="G8" s="211"/>
      <c r="H8" s="211"/>
      <c r="I8" s="211"/>
      <c r="K8" s="222"/>
      <c r="L8" s="223"/>
      <c r="M8" s="223"/>
      <c r="N8" s="222"/>
      <c r="O8" s="223"/>
      <c r="P8" s="223"/>
      <c r="Q8" s="223"/>
      <c r="R8" s="223"/>
    </row>
    <row r="9" spans="2:18" ht="19">
      <c r="B9" s="206" t="s">
        <v>31</v>
      </c>
      <c r="C9" s="207"/>
      <c r="D9" s="207"/>
      <c r="E9" s="211">
        <f>'Sizing Calcs'!$D$7</f>
        <v>0</v>
      </c>
      <c r="F9" s="211"/>
      <c r="G9" s="211"/>
      <c r="H9" s="211"/>
      <c r="I9" s="211"/>
      <c r="K9" s="222"/>
      <c r="L9" s="223"/>
      <c r="M9" s="223"/>
      <c r="N9" s="220"/>
      <c r="O9" s="221"/>
      <c r="P9" s="221"/>
      <c r="Q9" s="221"/>
      <c r="R9" s="221"/>
    </row>
    <row r="10" spans="2:18" ht="19">
      <c r="B10" s="224" t="s">
        <v>34</v>
      </c>
      <c r="C10" s="225"/>
      <c r="D10" s="225"/>
      <c r="E10" s="224">
        <f>'Sizing Calcs'!O6</f>
        <v>0</v>
      </c>
      <c r="F10" s="225"/>
      <c r="G10" s="225"/>
      <c r="H10" s="225"/>
      <c r="I10" s="225"/>
      <c r="K10" s="14"/>
      <c r="L10" s="15"/>
      <c r="M10" s="15"/>
      <c r="N10" s="13"/>
      <c r="O10" s="16"/>
      <c r="P10" s="16"/>
      <c r="Q10" s="16"/>
      <c r="R10" s="16"/>
    </row>
    <row r="11" spans="2:18" ht="19">
      <c r="B11" s="224" t="str">
        <f>'Sizing Calcs'!J7</f>
        <v>Other 1</v>
      </c>
      <c r="C11" s="225"/>
      <c r="D11" s="225"/>
      <c r="E11" s="211" t="str">
        <f>'Sizing Calcs'!O7</f>
        <v/>
      </c>
      <c r="F11" s="226"/>
      <c r="G11" s="226"/>
      <c r="H11" s="226"/>
      <c r="I11" s="226"/>
      <c r="K11" s="14"/>
      <c r="L11" s="15"/>
      <c r="M11" s="15"/>
      <c r="N11" s="13"/>
      <c r="O11" s="16"/>
      <c r="P11" s="16"/>
      <c r="Q11" s="16"/>
      <c r="R11" s="16"/>
    </row>
    <row r="12" spans="2:18" ht="19">
      <c r="B12" s="224" t="str">
        <f>'Sizing Calcs'!J8</f>
        <v>Other 2</v>
      </c>
      <c r="C12" s="225"/>
      <c r="D12" s="225"/>
      <c r="E12" s="211" t="str">
        <f>'Sizing Calcs'!O8</f>
        <v/>
      </c>
      <c r="F12" s="226"/>
      <c r="G12" s="226"/>
      <c r="H12" s="226"/>
      <c r="I12" s="226"/>
      <c r="K12" s="14"/>
      <c r="L12" s="15"/>
      <c r="M12" s="15"/>
      <c r="N12" s="13"/>
      <c r="O12" s="16"/>
      <c r="P12" s="16"/>
      <c r="Q12" s="16"/>
      <c r="R12" s="16"/>
    </row>
    <row r="13" spans="2:18" ht="19">
      <c r="B13" s="224" t="str">
        <f>'Sizing Calcs'!J9</f>
        <v>Required Dewatering Volume</v>
      </c>
      <c r="C13" s="225"/>
      <c r="D13" s="225"/>
      <c r="E13" s="66">
        <f>'Sizing Calcs'!P9</f>
        <v>0</v>
      </c>
      <c r="F13" s="67" t="str">
        <f>'Sizing Calcs'!Q9</f>
        <v>Acres x</v>
      </c>
      <c r="G13" s="67">
        <f>'Sizing Calcs'!R9</f>
        <v>3600</v>
      </c>
      <c r="H13" s="67" t="str">
        <f>'Sizing Calcs'!S9</f>
        <v xml:space="preserve">CF/AC = </v>
      </c>
      <c r="I13" s="70"/>
      <c r="J13" s="99">
        <f>'Sizing Calcs'!T9</f>
        <v>0</v>
      </c>
      <c r="K13" s="14"/>
      <c r="L13" s="15"/>
      <c r="M13" s="15"/>
      <c r="N13" s="13"/>
      <c r="O13" s="16"/>
      <c r="P13" s="16"/>
      <c r="Q13" s="16"/>
      <c r="R13" s="16"/>
    </row>
    <row r="14" spans="2:18" ht="19">
      <c r="B14" s="100" t="s">
        <v>91</v>
      </c>
      <c r="C14" s="101"/>
      <c r="D14" s="101"/>
      <c r="E14" s="102"/>
      <c r="F14" s="99"/>
      <c r="G14" s="99"/>
      <c r="H14" s="67"/>
      <c r="I14" s="67"/>
      <c r="K14" s="64"/>
      <c r="L14" s="65"/>
      <c r="M14" s="65"/>
      <c r="N14" s="62"/>
      <c r="O14" s="63"/>
      <c r="P14" s="63"/>
      <c r="Q14" s="63"/>
      <c r="R14" s="63"/>
    </row>
    <row r="16" spans="2:18">
      <c r="B16" s="216" t="s">
        <v>5</v>
      </c>
      <c r="C16" s="217"/>
      <c r="D16" s="217"/>
      <c r="E16" s="218"/>
      <c r="F16" s="216" t="s">
        <v>8</v>
      </c>
      <c r="G16" s="213"/>
      <c r="H16" s="213"/>
      <c r="I16" s="213"/>
      <c r="J16" s="219"/>
    </row>
    <row r="17" spans="2:10" ht="17">
      <c r="B17" s="209" t="s">
        <v>29</v>
      </c>
      <c r="C17" s="210"/>
      <c r="D17" s="210"/>
      <c r="E17" s="27">
        <f>'Sizing Calcs'!D13</f>
        <v>120</v>
      </c>
      <c r="F17" s="212" t="s">
        <v>39</v>
      </c>
      <c r="G17" s="213"/>
      <c r="H17" s="213"/>
      <c r="I17" s="213"/>
      <c r="J17" s="103">
        <f>'Sizing Calcs'!I13</f>
        <v>230000</v>
      </c>
    </row>
    <row r="18" spans="2:10">
      <c r="B18" s="209" t="s">
        <v>27</v>
      </c>
      <c r="C18" s="210"/>
      <c r="D18" s="210"/>
      <c r="E18" s="27">
        <f>'Sizing Calcs'!D14</f>
        <v>48</v>
      </c>
      <c r="F18" s="212"/>
      <c r="G18" s="213"/>
      <c r="H18" s="213"/>
      <c r="I18" s="213"/>
      <c r="J18" s="19"/>
    </row>
    <row r="19" spans="2:10">
      <c r="B19" s="209" t="s">
        <v>1</v>
      </c>
      <c r="C19" s="210"/>
      <c r="D19" s="210"/>
      <c r="E19" s="27">
        <f>'Sizing Calcs'!D15</f>
        <v>6</v>
      </c>
      <c r="F19" s="212" t="s">
        <v>7</v>
      </c>
      <c r="G19" s="213"/>
      <c r="H19" s="213"/>
      <c r="I19" s="213"/>
      <c r="J19" s="18">
        <f>'Sizing Calcs'!I15</f>
        <v>1720400</v>
      </c>
    </row>
    <row r="20" spans="2:10">
      <c r="B20" s="209" t="s">
        <v>0</v>
      </c>
      <c r="C20" s="210"/>
      <c r="D20" s="210"/>
      <c r="E20" s="27">
        <f>'Sizing Calcs'!D16</f>
        <v>300</v>
      </c>
      <c r="F20" s="214"/>
      <c r="G20" s="215"/>
      <c r="H20" s="215"/>
      <c r="I20" s="215"/>
      <c r="J20" s="20"/>
    </row>
    <row r="21" spans="2:10">
      <c r="B21" s="209" t="s">
        <v>2</v>
      </c>
      <c r="C21" s="210"/>
      <c r="D21" s="210"/>
      <c r="E21" s="27">
        <f>'Sizing Calcs'!D17</f>
        <v>200</v>
      </c>
      <c r="F21" s="228"/>
      <c r="G21" s="229"/>
      <c r="H21" s="229"/>
      <c r="I21" s="229"/>
      <c r="J21" s="21"/>
    </row>
    <row r="22" spans="2:10">
      <c r="B22" s="209" t="s">
        <v>3</v>
      </c>
      <c r="C22" s="210"/>
      <c r="D22" s="210"/>
      <c r="E22" s="27">
        <f>'Sizing Calcs'!D18</f>
        <v>200</v>
      </c>
      <c r="F22" s="230"/>
      <c r="G22" s="231"/>
      <c r="H22" s="231"/>
      <c r="I22" s="231"/>
      <c r="J22" s="232"/>
    </row>
    <row r="23" spans="2:10">
      <c r="B23" s="209" t="s">
        <v>4</v>
      </c>
      <c r="C23" s="210"/>
      <c r="D23" s="210"/>
      <c r="E23" s="27">
        <f>'Sizing Calcs'!D19</f>
        <v>100</v>
      </c>
      <c r="F23" s="233"/>
      <c r="G23" s="234"/>
      <c r="H23" s="234"/>
      <c r="I23" s="234"/>
      <c r="J23" s="235"/>
    </row>
    <row r="25" spans="2:10" ht="16">
      <c r="B25" s="22" t="s">
        <v>47</v>
      </c>
      <c r="C25" s="22"/>
      <c r="D25" s="22"/>
      <c r="E25" s="22"/>
      <c r="F25" s="23">
        <f>+J17/E17*24</f>
        <v>46000</v>
      </c>
      <c r="G25" t="s">
        <v>50</v>
      </c>
      <c r="H25" s="22">
        <f>'Sizing Calcs'!$D$13</f>
        <v>120</v>
      </c>
      <c r="I25" s="22" t="s">
        <v>49</v>
      </c>
    </row>
    <row r="26" spans="2:10" ht="16">
      <c r="B26" s="22"/>
      <c r="C26" s="22"/>
      <c r="D26" s="22"/>
      <c r="E26" s="22"/>
      <c r="F26" s="52">
        <f>+F25/86400</f>
        <v>0.53240740740740744</v>
      </c>
      <c r="G26" t="s">
        <v>55</v>
      </c>
      <c r="I26" s="22"/>
      <c r="J26" s="22"/>
    </row>
    <row r="27" spans="2:10" ht="16">
      <c r="B27" s="22"/>
      <c r="C27" s="22"/>
      <c r="D27" s="22"/>
      <c r="E27" s="22"/>
      <c r="F27" s="52"/>
      <c r="I27" s="22"/>
      <c r="J27" s="22"/>
    </row>
    <row r="28" spans="2:10" ht="16">
      <c r="B28" s="22" t="s">
        <v>48</v>
      </c>
      <c r="C28" s="22"/>
      <c r="D28" s="22"/>
      <c r="E28" s="22"/>
      <c r="F28" s="23">
        <f>+J17/E18*24</f>
        <v>115000</v>
      </c>
      <c r="G28" t="s">
        <v>50</v>
      </c>
      <c r="H28" s="22">
        <f>'Sizing Calcs'!$D$14</f>
        <v>48</v>
      </c>
      <c r="I28" s="22" t="s">
        <v>49</v>
      </c>
    </row>
    <row r="29" spans="2:10" ht="16">
      <c r="B29" s="22"/>
      <c r="C29" s="22"/>
      <c r="D29" s="22"/>
      <c r="E29" s="22"/>
      <c r="F29" s="52">
        <f>+F28/86400</f>
        <v>1.3310185185185186</v>
      </c>
      <c r="G29" t="s">
        <v>55</v>
      </c>
      <c r="I29" s="22"/>
      <c r="J29" s="22"/>
    </row>
    <row r="30" spans="2:10" ht="16">
      <c r="B30" s="22"/>
      <c r="C30" s="22"/>
      <c r="D30" s="22"/>
      <c r="E30" s="22"/>
      <c r="F30" s="23"/>
      <c r="I30" s="22"/>
      <c r="J30" s="22"/>
    </row>
    <row r="32" spans="2:10" ht="19">
      <c r="B32" s="227" t="s">
        <v>129</v>
      </c>
      <c r="C32" s="227"/>
      <c r="D32" s="227"/>
      <c r="E32" s="227"/>
      <c r="F32" s="227"/>
      <c r="G32" s="227"/>
    </row>
    <row r="33" spans="2:7" ht="16" thickBot="1">
      <c r="B33" s="5" t="s">
        <v>41</v>
      </c>
      <c r="C33" s="5" t="s">
        <v>40</v>
      </c>
      <c r="D33" s="197" t="s">
        <v>130</v>
      </c>
      <c r="E33" s="197"/>
      <c r="F33" s="197" t="s">
        <v>131</v>
      </c>
      <c r="G33" s="197"/>
    </row>
    <row r="34" spans="2:7">
      <c r="B34" s="26" t="s">
        <v>74</v>
      </c>
      <c r="C34" s="26" t="s">
        <v>75</v>
      </c>
      <c r="D34" s="202">
        <f>'Sizing Calcs'!$L$39</f>
        <v>15278.901705839819</v>
      </c>
      <c r="E34" s="203"/>
      <c r="F34" s="203" t="str">
        <f>'Sizing Calcs'!$J$42</f>
        <v>no</v>
      </c>
      <c r="G34" s="203"/>
    </row>
    <row r="35" spans="2:7">
      <c r="B35" s="17" t="s">
        <v>74</v>
      </c>
      <c r="C35" s="17" t="s">
        <v>76</v>
      </c>
      <c r="D35" s="204">
        <f>'Sizing Calcs'!$O$39</f>
        <v>4069.3098597947278</v>
      </c>
      <c r="E35" s="205"/>
      <c r="F35" s="205" t="str">
        <f>'Sizing Calcs'!$M$42</f>
        <v>no</v>
      </c>
      <c r="G35" s="205"/>
    </row>
    <row r="36" spans="2:7">
      <c r="B36" s="17" t="s">
        <v>74</v>
      </c>
      <c r="C36" s="17" t="s">
        <v>42</v>
      </c>
      <c r="D36" s="204">
        <f>'Sizing Calcs'!$R$39</f>
        <v>3282.2231169389993</v>
      </c>
      <c r="E36" s="205"/>
      <c r="F36" s="205" t="str">
        <f>'Sizing Calcs'!$P$42</f>
        <v>no</v>
      </c>
      <c r="G36" s="205"/>
    </row>
    <row r="37" spans="2:7">
      <c r="B37" s="17" t="s">
        <v>74</v>
      </c>
      <c r="C37" s="17" t="s">
        <v>43</v>
      </c>
      <c r="D37" s="204">
        <f>'Sizing Calcs'!$U$39</f>
        <v>1814.3357230279476</v>
      </c>
      <c r="E37" s="205"/>
      <c r="F37" s="205" t="str">
        <f>'Sizing Calcs'!$S$42</f>
        <v>no</v>
      </c>
      <c r="G37" s="205"/>
    </row>
    <row r="38" spans="2:7" ht="16" thickBot="1">
      <c r="B38" s="25" t="s">
        <v>74</v>
      </c>
      <c r="C38" s="25" t="s">
        <v>74</v>
      </c>
      <c r="D38" s="196">
        <f>'Sizing Calcs'!$X$39</f>
        <v>1039.8633237531888</v>
      </c>
      <c r="E38" s="197"/>
      <c r="F38" s="197" t="str">
        <f>'Sizing Calcs'!$V$42</f>
        <v>no</v>
      </c>
      <c r="G38" s="197"/>
    </row>
    <row r="39" spans="2:7">
      <c r="B39" s="17" t="s">
        <v>77</v>
      </c>
      <c r="C39" s="17" t="s">
        <v>43</v>
      </c>
      <c r="D39" s="204">
        <f>'Sizing Calcs'!$AA$39</f>
        <v>1509.1870824281718</v>
      </c>
      <c r="E39" s="204"/>
      <c r="F39" s="205" t="str">
        <f>'Sizing Calcs'!$Y$42</f>
        <v>no</v>
      </c>
      <c r="G39" s="205"/>
    </row>
    <row r="40" spans="2:7">
      <c r="B40" s="17" t="s">
        <v>77</v>
      </c>
      <c r="C40" s="17" t="s">
        <v>44</v>
      </c>
      <c r="D40" s="204">
        <f>'Sizing Calcs'!$AD$39</f>
        <v>849.26728694584403</v>
      </c>
      <c r="E40" s="205"/>
      <c r="F40" s="205" t="str">
        <f>'Sizing Calcs'!$AB$42</f>
        <v>no</v>
      </c>
      <c r="G40" s="205"/>
    </row>
    <row r="41" spans="2:7">
      <c r="B41" s="24" t="s">
        <v>77</v>
      </c>
      <c r="C41" s="24" t="s">
        <v>45</v>
      </c>
      <c r="D41" s="204">
        <f>'Sizing Calcs'!$AG$39</f>
        <v>504.6082308990924</v>
      </c>
      <c r="E41" s="205"/>
      <c r="F41" s="205" t="str">
        <f>'Sizing Calcs'!$AE$42</f>
        <v>no</v>
      </c>
      <c r="G41" s="205"/>
    </row>
    <row r="42" spans="2:7" ht="16" thickBot="1">
      <c r="B42" s="25" t="s">
        <v>77</v>
      </c>
      <c r="C42" s="25" t="s">
        <v>77</v>
      </c>
      <c r="D42" s="196">
        <f>'Sizing Calcs'!$AJ$39</f>
        <v>389.07199956842953</v>
      </c>
      <c r="E42" s="197"/>
      <c r="F42" s="197" t="str">
        <f>'Sizing Calcs'!$AH$42</f>
        <v>no</v>
      </c>
      <c r="G42" s="197"/>
    </row>
    <row r="43" spans="2:7">
      <c r="B43" s="24" t="s">
        <v>78</v>
      </c>
      <c r="C43" s="24" t="s">
        <v>44</v>
      </c>
      <c r="D43" s="204">
        <f>'Sizing Calcs'!$AM$39</f>
        <v>781.21998119091154</v>
      </c>
      <c r="E43" s="205"/>
      <c r="F43" s="205" t="str">
        <f>'Sizing Calcs'!$AK$42</f>
        <v>no</v>
      </c>
      <c r="G43" s="205"/>
    </row>
    <row r="44" spans="2:7">
      <c r="B44" s="24" t="s">
        <v>78</v>
      </c>
      <c r="C44" s="24" t="s">
        <v>45</v>
      </c>
      <c r="D44" s="204">
        <f>'Sizing Calcs'!$AP$39</f>
        <v>520.49030447338066</v>
      </c>
      <c r="E44" s="205"/>
      <c r="F44" s="205" t="str">
        <f>'Sizing Calcs'!$AN$42</f>
        <v>no</v>
      </c>
      <c r="G44" s="205"/>
    </row>
    <row r="45" spans="2:7">
      <c r="B45" s="61" t="s">
        <v>78</v>
      </c>
      <c r="C45" s="61" t="s">
        <v>46</v>
      </c>
      <c r="D45" s="204">
        <f>'Sizing Calcs'!$AS$39</f>
        <v>336.79929721689632</v>
      </c>
      <c r="E45" s="205"/>
      <c r="F45" s="205" t="str">
        <f>'Sizing Calcs'!$AQ$42</f>
        <v>no</v>
      </c>
      <c r="G45" s="205"/>
    </row>
    <row r="46" spans="2:7">
      <c r="B46" s="61" t="s">
        <v>78</v>
      </c>
      <c r="C46" s="61" t="s">
        <v>112</v>
      </c>
      <c r="D46" s="204">
        <f>'Sizing Calcs'!$AV$39</f>
        <v>251.16402416458044</v>
      </c>
      <c r="E46" s="205"/>
      <c r="F46" s="205" t="str">
        <f>'Sizing Calcs'!$AT$42</f>
        <v>no</v>
      </c>
      <c r="G46" s="205"/>
    </row>
    <row r="47" spans="2:7" ht="16" thickBot="1">
      <c r="B47" s="25" t="s">
        <v>78</v>
      </c>
      <c r="C47" s="25" t="s">
        <v>78</v>
      </c>
      <c r="D47" s="196">
        <f>'Sizing Calcs'!$AY$39</f>
        <v>162.06545345673115</v>
      </c>
      <c r="E47" s="196"/>
      <c r="F47" s="197" t="str">
        <f>'Sizing Calcs'!$AW$42</f>
        <v>no</v>
      </c>
      <c r="G47" s="197"/>
    </row>
    <row r="48" spans="2:7">
      <c r="B48" s="24" t="s">
        <v>111</v>
      </c>
      <c r="C48" s="24" t="s">
        <v>112</v>
      </c>
      <c r="D48" s="202">
        <f>'Sizing Calcs'!$BB$39</f>
        <v>253.32133283000672</v>
      </c>
      <c r="E48" s="203"/>
      <c r="F48" s="203" t="str">
        <f>'Sizing Calcs'!$AZ$42</f>
        <v>no</v>
      </c>
      <c r="G48" s="203"/>
    </row>
    <row r="49" spans="2:10">
      <c r="B49" s="24" t="s">
        <v>111</v>
      </c>
      <c r="C49" s="24" t="s">
        <v>78</v>
      </c>
      <c r="D49" s="202">
        <f>'Sizing Calcs'!$BE$39</f>
        <v>191.51161696141114</v>
      </c>
      <c r="E49" s="203"/>
      <c r="F49" s="203" t="str">
        <f>'Sizing Calcs'!$BC$42</f>
        <v>no</v>
      </c>
      <c r="G49" s="203"/>
    </row>
    <row r="50" spans="2:10">
      <c r="B50" s="24" t="s">
        <v>111</v>
      </c>
      <c r="C50" s="24" t="s">
        <v>113</v>
      </c>
      <c r="D50" s="202">
        <f>'Sizing Calcs'!$BH$39</f>
        <v>140.35978220059312</v>
      </c>
      <c r="E50" s="203"/>
      <c r="F50" s="203" t="str">
        <f>'Sizing Calcs'!$BF$42</f>
        <v>no</v>
      </c>
      <c r="G50" s="203"/>
    </row>
    <row r="51" spans="2:10">
      <c r="B51" s="17" t="s">
        <v>111</v>
      </c>
      <c r="C51" s="17" t="s">
        <v>114</v>
      </c>
      <c r="D51" s="204">
        <f>'Sizing Calcs'!$BK$39</f>
        <v>117.81082692451031</v>
      </c>
      <c r="E51" s="205"/>
      <c r="F51" s="205" t="str">
        <f>'Sizing Calcs'!$BI$42</f>
        <v>MF 6" - 5" Orifice</v>
      </c>
      <c r="G51" s="205"/>
    </row>
    <row r="52" spans="2:10" ht="16" thickBot="1">
      <c r="B52" s="25" t="s">
        <v>111</v>
      </c>
      <c r="C52" s="25" t="s">
        <v>111</v>
      </c>
      <c r="D52" s="196">
        <f>'Sizing Calcs'!$BN$39</f>
        <v>80.009277518581044</v>
      </c>
      <c r="E52" s="197"/>
      <c r="F52" s="197" t="str">
        <f>'Sizing Calcs'!$BL$42</f>
        <v>MF 6" - 6"</v>
      </c>
      <c r="G52" s="197"/>
    </row>
    <row r="53" spans="2:10">
      <c r="B53" s="24" t="s">
        <v>115</v>
      </c>
      <c r="C53" s="24" t="s">
        <v>114</v>
      </c>
      <c r="D53" s="202">
        <f>'Sizing Calcs'!$BQ$39</f>
        <v>108.81664752291121</v>
      </c>
      <c r="E53" s="203"/>
      <c r="F53" s="203" t="str">
        <f>'Sizing Calcs'!$BO$42</f>
        <v>MF 8" - 5" Orifice</v>
      </c>
      <c r="G53" s="203"/>
    </row>
    <row r="54" spans="2:10">
      <c r="B54" s="24" t="s">
        <v>115</v>
      </c>
      <c r="C54" s="24" t="s">
        <v>111</v>
      </c>
      <c r="D54" s="202">
        <f>'Sizing Calcs'!$BT$39</f>
        <v>77.392150489228442</v>
      </c>
      <c r="E54" s="203"/>
      <c r="F54" s="203" t="str">
        <f>'Sizing Calcs'!$BR$42</f>
        <v>MF 8" - 6" Orifice</v>
      </c>
      <c r="G54" s="203"/>
    </row>
    <row r="55" spans="2:10">
      <c r="B55" s="24" t="s">
        <v>115</v>
      </c>
      <c r="C55" s="24" t="s">
        <v>116</v>
      </c>
      <c r="D55" s="202">
        <f>'Sizing Calcs'!$BW$39</f>
        <v>67.161317996179989</v>
      </c>
      <c r="E55" s="203"/>
      <c r="F55" s="203" t="str">
        <f>'Sizing Calcs'!$BU$42</f>
        <v>MF 8" - 6.5" Orifice</v>
      </c>
      <c r="G55" s="203"/>
    </row>
    <row r="56" spans="2:10">
      <c r="B56" s="17" t="s">
        <v>115</v>
      </c>
      <c r="C56" s="17" t="s">
        <v>117</v>
      </c>
      <c r="D56" s="204">
        <f>'Sizing Calcs'!$BZ$39</f>
        <v>47.440587416152077</v>
      </c>
      <c r="E56" s="205"/>
      <c r="F56" s="205" t="str">
        <f>'Sizing Calcs'!$BX$42</f>
        <v>no</v>
      </c>
      <c r="G56" s="205"/>
      <c r="J56" s="1"/>
    </row>
    <row r="57" spans="2:10" ht="16" thickBot="1">
      <c r="B57" s="25" t="s">
        <v>115</v>
      </c>
      <c r="C57" s="25" t="s">
        <v>115</v>
      </c>
      <c r="D57" s="196">
        <f>'Sizing Calcs'!$CC$39</f>
        <v>41.396356803475371</v>
      </c>
      <c r="E57" s="197"/>
      <c r="F57" s="197" t="str">
        <f>'Sizing Calcs'!$CA$42</f>
        <v>no</v>
      </c>
      <c r="G57" s="197"/>
    </row>
    <row r="58" spans="2:10" ht="16" thickBot="1">
      <c r="B58" s="25" t="s">
        <v>118</v>
      </c>
      <c r="C58" s="25" t="s">
        <v>118</v>
      </c>
      <c r="D58" s="196">
        <f>'Sizing Calcs'!$CF$39</f>
        <v>34.057810959832281</v>
      </c>
      <c r="E58" s="197"/>
      <c r="F58" s="197" t="str">
        <f>'Sizing Calcs'!$CD$42</f>
        <v>no</v>
      </c>
      <c r="G58" s="197"/>
    </row>
    <row r="59" spans="2:10">
      <c r="B59" s="9"/>
      <c r="C59" s="9"/>
    </row>
    <row r="60" spans="2:10">
      <c r="B60" s="198" t="s">
        <v>119</v>
      </c>
      <c r="C60" s="199"/>
      <c r="D60" s="199"/>
      <c r="E60" s="199"/>
      <c r="F60" s="199"/>
      <c r="G60" s="199"/>
    </row>
    <row r="61" spans="2:10">
      <c r="B61" s="200"/>
      <c r="C61" s="200"/>
      <c r="D61" s="200"/>
      <c r="E61" s="200"/>
      <c r="F61" s="200"/>
      <c r="G61" s="200"/>
    </row>
    <row r="62" spans="2:10">
      <c r="B62" s="201"/>
      <c r="C62" s="201"/>
      <c r="D62" s="201"/>
      <c r="E62" s="201"/>
      <c r="F62" s="201"/>
      <c r="G62" s="201"/>
    </row>
    <row r="64" spans="2:10">
      <c r="B64" s="105"/>
      <c r="C64" s="105"/>
      <c r="D64" s="105"/>
      <c r="E64" s="105"/>
      <c r="F64" s="105"/>
      <c r="G64" s="105"/>
    </row>
    <row r="65" spans="2:7">
      <c r="B65" s="105"/>
      <c r="C65" s="105"/>
      <c r="D65" s="105"/>
      <c r="E65" s="105"/>
      <c r="F65" s="105"/>
      <c r="G65" s="105"/>
    </row>
    <row r="66" spans="2:7">
      <c r="B66" s="105"/>
      <c r="C66" s="105"/>
      <c r="D66" s="105"/>
      <c r="E66" s="105"/>
      <c r="F66" s="105"/>
      <c r="G66" s="105"/>
    </row>
    <row r="67" spans="2:7">
      <c r="B67" s="105"/>
      <c r="C67" s="105"/>
      <c r="D67" s="105"/>
      <c r="E67" s="105"/>
      <c r="F67" s="105"/>
      <c r="G67" s="105"/>
    </row>
    <row r="68" spans="2:7">
      <c r="B68" s="105"/>
      <c r="C68" s="105"/>
      <c r="D68" s="105"/>
      <c r="E68" s="105"/>
      <c r="F68" s="105"/>
      <c r="G68" s="105"/>
    </row>
  </sheetData>
  <sheetProtection algorithmName="SHA-512" hashValue="t0UsAbU/P6lqdywQV2Q6LsxXF2Aew/W2TjGcO1XOPpZccMKPVHcBZczfsUVec+0Kp/Ss+jNdUNAIE2alkspdXg==" saltValue="ArYpNILRisGftxd4qquoog==" spinCount="100000" sheet="1" objects="1" scenarios="1"/>
  <mergeCells count="96">
    <mergeCell ref="D34:E34"/>
    <mergeCell ref="D35:E35"/>
    <mergeCell ref="D36:E36"/>
    <mergeCell ref="D37:E37"/>
    <mergeCell ref="D38:E38"/>
    <mergeCell ref="F34:G34"/>
    <mergeCell ref="F35:G35"/>
    <mergeCell ref="F36:G36"/>
    <mergeCell ref="F37:G37"/>
    <mergeCell ref="F38:G38"/>
    <mergeCell ref="D39:E39"/>
    <mergeCell ref="D40:E40"/>
    <mergeCell ref="D48:E48"/>
    <mergeCell ref="D52:E52"/>
    <mergeCell ref="F39:G39"/>
    <mergeCell ref="F40:G40"/>
    <mergeCell ref="F48:G48"/>
    <mergeCell ref="F51:G51"/>
    <mergeCell ref="D41:E41"/>
    <mergeCell ref="F41:G41"/>
    <mergeCell ref="D42:E42"/>
    <mergeCell ref="F42:G42"/>
    <mergeCell ref="D43:E43"/>
    <mergeCell ref="F43:G43"/>
    <mergeCell ref="D44:E44"/>
    <mergeCell ref="F44:G44"/>
    <mergeCell ref="N6:R6"/>
    <mergeCell ref="N7:R7"/>
    <mergeCell ref="K6:M6"/>
    <mergeCell ref="K7:M7"/>
    <mergeCell ref="D33:E33"/>
    <mergeCell ref="F33:G33"/>
    <mergeCell ref="B32:G32"/>
    <mergeCell ref="B10:D10"/>
    <mergeCell ref="E10:I10"/>
    <mergeCell ref="B21:D21"/>
    <mergeCell ref="F21:I21"/>
    <mergeCell ref="B22:D22"/>
    <mergeCell ref="F22:J23"/>
    <mergeCell ref="B23:D23"/>
    <mergeCell ref="K8:M8"/>
    <mergeCell ref="N8:R8"/>
    <mergeCell ref="N9:R9"/>
    <mergeCell ref="K9:M9"/>
    <mergeCell ref="F17:I17"/>
    <mergeCell ref="B18:D18"/>
    <mergeCell ref="F18:I18"/>
    <mergeCell ref="B11:D11"/>
    <mergeCell ref="E11:I11"/>
    <mergeCell ref="B12:D12"/>
    <mergeCell ref="E12:I12"/>
    <mergeCell ref="B13:D13"/>
    <mergeCell ref="F19:I19"/>
    <mergeCell ref="B20:D20"/>
    <mergeCell ref="F20:I20"/>
    <mergeCell ref="B16:E16"/>
    <mergeCell ref="F16:J16"/>
    <mergeCell ref="B19:D19"/>
    <mergeCell ref="B5:D5"/>
    <mergeCell ref="E5:I5"/>
    <mergeCell ref="B17:D17"/>
    <mergeCell ref="B6:D6"/>
    <mergeCell ref="E6:I6"/>
    <mergeCell ref="B7:D7"/>
    <mergeCell ref="E7:I7"/>
    <mergeCell ref="B8:D8"/>
    <mergeCell ref="E8:I8"/>
    <mergeCell ref="B9:D9"/>
    <mergeCell ref="E9:I9"/>
    <mergeCell ref="F53:G53"/>
    <mergeCell ref="F52:G52"/>
    <mergeCell ref="D51:E51"/>
    <mergeCell ref="D45:E45"/>
    <mergeCell ref="F45:G45"/>
    <mergeCell ref="D47:E47"/>
    <mergeCell ref="F47:G47"/>
    <mergeCell ref="D49:E49"/>
    <mergeCell ref="F49:G49"/>
    <mergeCell ref="D46:E46"/>
    <mergeCell ref="F46:G46"/>
    <mergeCell ref="A1:XFD1"/>
    <mergeCell ref="B64:G68"/>
    <mergeCell ref="D58:E58"/>
    <mergeCell ref="F58:G58"/>
    <mergeCell ref="D57:E57"/>
    <mergeCell ref="F57:G57"/>
    <mergeCell ref="B60:G62"/>
    <mergeCell ref="D54:E54"/>
    <mergeCell ref="F54:G54"/>
    <mergeCell ref="D55:E55"/>
    <mergeCell ref="F55:G55"/>
    <mergeCell ref="D56:E56"/>
    <mergeCell ref="F56:G56"/>
    <mergeCell ref="D50:E50"/>
    <mergeCell ref="F50:G50"/>
    <mergeCell ref="D53:E53"/>
  </mergeCells>
  <pageMargins left="0.7" right="0.7" top="0.75" bottom="0.75" header="0.3" footer="0.3"/>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Sizing Calcs</vt:lpstr>
      <vt:lpstr>Skimmer Report</vt:lpstr>
      <vt:lpstr>Sheet3</vt:lpstr>
      <vt:lpstr>'Sizing Calcs'!Print_Area</vt:lpstr>
      <vt:lpstr>'Skimmer Report'!Print_Area</vt:lpstr>
    </vt:vector>
  </TitlesOfParts>
  <Company>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cp:lastPrinted>2020-06-25T17:07:20Z</cp:lastPrinted>
  <dcterms:created xsi:type="dcterms:W3CDTF">2011-09-08T21:17:11Z</dcterms:created>
  <dcterms:modified xsi:type="dcterms:W3CDTF">2020-07-22T20:13:28Z</dcterms:modified>
</cp:coreProperties>
</file>